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075" tabRatio="855"/>
  </bookViews>
  <sheets>
    <sheet name="はじめに" sheetId="14" r:id="rId1"/>
    <sheet name="収入がない方" sheetId="17" r:id="rId2"/>
    <sheet name="給与・年金" sheetId="15" r:id="rId3"/>
    <sheet name="営業等" sheetId="12" r:id="rId4"/>
    <sheet name="一時所得等" sheetId="13" r:id="rId5"/>
    <sheet name="社会保険・生命・地震保険" sheetId="11" r:id="rId6"/>
    <sheet name="配偶者・扶養" sheetId="10" r:id="rId7"/>
    <sheet name="障害者控除" sheetId="9" r:id="rId8"/>
    <sheet name="寡婦・ひとり親・勤労学生" sheetId="16" r:id="rId9"/>
    <sheet name="医療費・寄附金" sheetId="18" r:id="rId10"/>
    <sheet name="市民税・県民税申告書（印刷）" sheetId="7" r:id="rId11"/>
    <sheet name="ふるさと納税・税額試算" sheetId="21" state="hidden" r:id="rId12"/>
    <sheet name="計算用資料" sheetId="5" state="hidden" r:id="rId13"/>
    <sheet name="シート解説" sheetId="19" state="hidden" r:id="rId14"/>
    <sheet name="改訂履歴" sheetId="20" state="hidden" r:id="rId15"/>
  </sheets>
  <definedNames>
    <definedName name="_xlnm._FilterDatabase" localSheetId="11" hidden="1">ふるさと納税・税額試算!$C$4:$C$4</definedName>
    <definedName name="_xlnm._FilterDatabase" localSheetId="6" hidden="1">配偶者・扶養!$B$6:$N$27</definedName>
    <definedName name="_xlnm.Print_Area" localSheetId="10">'市民税・県民税申告書（印刷）'!$A$6:$BB$180</definedName>
  </definedNames>
  <calcPr calcId="162913"/>
</workbook>
</file>

<file path=xl/calcChain.xml><?xml version="1.0" encoding="utf-8"?>
<calcChain xmlns="http://schemas.openxmlformats.org/spreadsheetml/2006/main">
  <c r="AH109" i="7" l="1"/>
  <c r="AK109" i="7"/>
  <c r="AX109" i="7"/>
  <c r="AS109" i="7"/>
  <c r="AH108" i="7"/>
  <c r="AK108" i="7"/>
  <c r="AX108" i="7"/>
  <c r="AS108" i="7"/>
  <c r="P33" i="12" l="1"/>
  <c r="P22" i="12" l="1"/>
  <c r="L22" i="12" l="1"/>
  <c r="L25" i="12"/>
  <c r="L28" i="12" l="1"/>
  <c r="P23" i="12" s="1"/>
  <c r="D158" i="5" s="1"/>
  <c r="D96" i="5" l="1"/>
  <c r="D97" i="5"/>
  <c r="F95" i="5"/>
  <c r="F96" i="5"/>
  <c r="F98" i="5"/>
  <c r="L95" i="5"/>
  <c r="K95" i="5"/>
  <c r="I95" i="5"/>
  <c r="H220" i="5"/>
  <c r="L108" i="5"/>
  <c r="D108" i="5"/>
  <c r="E46" i="5"/>
  <c r="D46" i="5"/>
  <c r="C40" i="5"/>
  <c r="C19" i="5"/>
  <c r="G95" i="5"/>
  <c r="H95" i="5"/>
  <c r="L96" i="5" l="1"/>
  <c r="L97" i="5"/>
  <c r="L98" i="5"/>
  <c r="L99" i="5"/>
  <c r="L100" i="5"/>
  <c r="L101" i="5"/>
  <c r="L102" i="5"/>
  <c r="D98" i="5" l="1"/>
  <c r="D99" i="5"/>
  <c r="D100" i="5"/>
  <c r="D101" i="5"/>
  <c r="D102" i="5"/>
  <c r="E88" i="5" l="1"/>
  <c r="L229" i="5" l="1"/>
  <c r="K229" i="5"/>
  <c r="J229" i="5"/>
  <c r="I229" i="5"/>
  <c r="L228" i="5"/>
  <c r="K228" i="5"/>
  <c r="J228" i="5"/>
  <c r="I228" i="5"/>
  <c r="L227" i="5"/>
  <c r="K227" i="5"/>
  <c r="J227" i="5"/>
  <c r="I227" i="5"/>
  <c r="M229" i="5" l="1"/>
  <c r="N229" i="5" s="1"/>
  <c r="M228" i="5"/>
  <c r="N228" i="5" s="1"/>
  <c r="M227" i="5"/>
  <c r="N227" i="5" s="1"/>
  <c r="L294" i="5"/>
  <c r="K294" i="5"/>
  <c r="J294" i="5"/>
  <c r="I294" i="5"/>
  <c r="H294" i="5"/>
  <c r="J223" i="5"/>
  <c r="F223" i="5" l="1"/>
  <c r="D211" i="5"/>
  <c r="D202" i="5"/>
  <c r="D198" i="5"/>
  <c r="F198" i="5" s="1"/>
  <c r="C198" i="5"/>
  <c r="E198" i="5" s="1"/>
  <c r="H193" i="5"/>
  <c r="H194" i="5" s="1"/>
  <c r="G193" i="5"/>
  <c r="G194" i="5" s="1"/>
  <c r="F193" i="5"/>
  <c r="F194" i="5" s="1"/>
  <c r="D193" i="5"/>
  <c r="D194" i="5" s="1"/>
  <c r="E193" i="5"/>
  <c r="E194" i="5" s="1"/>
  <c r="D273" i="5"/>
  <c r="D272" i="5"/>
  <c r="D271" i="5"/>
  <c r="D270" i="5"/>
  <c r="D269" i="5"/>
  <c r="D268" i="5"/>
  <c r="D267" i="5"/>
  <c r="I194" i="5" l="1"/>
  <c r="J194" i="5"/>
  <c r="G198" i="5"/>
  <c r="H198" i="5" s="1"/>
  <c r="K194" i="5" l="1"/>
  <c r="E84" i="5"/>
  <c r="D84" i="5"/>
  <c r="G84" i="5"/>
  <c r="F84" i="5"/>
  <c r="I59" i="5"/>
  <c r="F27" i="5"/>
  <c r="F26" i="5" s="1"/>
  <c r="L41" i="12" l="1"/>
  <c r="L38" i="12"/>
  <c r="L33" i="12"/>
  <c r="P34" i="12" s="1"/>
  <c r="L16" i="12"/>
  <c r="L15" i="12"/>
  <c r="L11" i="12"/>
  <c r="J40" i="5" s="1"/>
  <c r="L7" i="12"/>
  <c r="J37" i="5" s="1"/>
  <c r="L3" i="12"/>
  <c r="J34" i="5" s="1"/>
  <c r="Q18" i="15"/>
  <c r="P16" i="12" l="1"/>
  <c r="AV30" i="7"/>
  <c r="F115" i="5" l="1"/>
  <c r="AH12" i="7" l="1"/>
  <c r="H55" i="5" l="1"/>
  <c r="AC42" i="7" s="1"/>
  <c r="D122" i="5" l="1"/>
  <c r="AV22" i="7" l="1"/>
  <c r="D12" i="15" l="1"/>
  <c r="Q10" i="7" l="1"/>
  <c r="AB44" i="7" l="1"/>
  <c r="AA35" i="7" l="1"/>
  <c r="N109" i="5"/>
  <c r="N108" i="5"/>
  <c r="AB62" i="7" l="1"/>
  <c r="AB59" i="7"/>
  <c r="AB56" i="7"/>
  <c r="AB53" i="7"/>
  <c r="AB50" i="7"/>
  <c r="AB47" i="7"/>
  <c r="D167" i="5" l="1"/>
  <c r="AT67" i="7" s="1"/>
  <c r="C167" i="5"/>
  <c r="AI67" i="7" s="1"/>
  <c r="D30" i="15" l="1"/>
  <c r="C26" i="5" l="1"/>
  <c r="E16" i="5"/>
  <c r="D16" i="5"/>
  <c r="K102" i="5" l="1"/>
  <c r="K101" i="5"/>
  <c r="K100" i="5"/>
  <c r="K99" i="5"/>
  <c r="K98" i="5"/>
  <c r="K97" i="5"/>
  <c r="K96" i="5"/>
  <c r="J80" i="5"/>
  <c r="J79" i="5"/>
  <c r="J78" i="5"/>
  <c r="J77" i="5"/>
  <c r="H102" i="5"/>
  <c r="H101" i="5"/>
  <c r="H100" i="5"/>
  <c r="H99" i="5"/>
  <c r="H98" i="5"/>
  <c r="H97" i="5"/>
  <c r="H96" i="5"/>
  <c r="H155" i="5" l="1"/>
  <c r="F155" i="5"/>
  <c r="D155" i="5"/>
  <c r="G155" i="5"/>
  <c r="E155" i="5"/>
  <c r="C155" i="5"/>
  <c r="J152" i="5"/>
  <c r="H152" i="5"/>
  <c r="F152" i="5"/>
  <c r="R48" i="7" s="1"/>
  <c r="D152" i="5"/>
  <c r="I152" i="5"/>
  <c r="G152" i="5"/>
  <c r="E152" i="5"/>
  <c r="C152" i="5"/>
  <c r="D149" i="5"/>
  <c r="Y41" i="7" s="1"/>
  <c r="C149" i="5"/>
  <c r="J43" i="7" l="1"/>
  <c r="J52" i="7"/>
  <c r="J58" i="7"/>
  <c r="J61" i="7"/>
  <c r="R45" i="7"/>
  <c r="J64" i="7"/>
  <c r="J46" i="7"/>
  <c r="R51" i="7"/>
  <c r="R60" i="7"/>
  <c r="J55" i="7"/>
  <c r="R57" i="7"/>
  <c r="J49" i="7"/>
  <c r="R54" i="7"/>
  <c r="R63" i="7"/>
  <c r="I146" i="5"/>
  <c r="M33" i="7" s="1"/>
  <c r="H146" i="5"/>
  <c r="M32" i="7" s="1"/>
  <c r="G146" i="5"/>
  <c r="H33" i="7" s="1"/>
  <c r="F146" i="5"/>
  <c r="H32" i="7" s="1"/>
  <c r="D146" i="5"/>
  <c r="C146" i="5"/>
  <c r="T17" i="7" s="1"/>
  <c r="D142" i="5"/>
  <c r="AJ10" i="7" s="1"/>
  <c r="C142" i="5"/>
  <c r="F122" i="5"/>
  <c r="H122" i="5"/>
  <c r="J122" i="5"/>
  <c r="L123" i="5"/>
  <c r="C13" i="18" s="1"/>
  <c r="D13" i="16"/>
  <c r="L109" i="5"/>
  <c r="K108" i="5"/>
  <c r="J108" i="5"/>
  <c r="D109" i="5"/>
  <c r="E109" i="5" s="1"/>
  <c r="O109" i="5" s="1"/>
  <c r="E108" i="5"/>
  <c r="E90" i="5"/>
  <c r="I58" i="10" s="1"/>
  <c r="E89" i="5"/>
  <c r="I53" i="10" s="1"/>
  <c r="I48" i="10"/>
  <c r="D77" i="5"/>
  <c r="E79" i="5"/>
  <c r="D30" i="5"/>
  <c r="D26" i="13" s="1"/>
  <c r="O108" i="5" l="1"/>
  <c r="F17" i="9"/>
  <c r="F24" i="9"/>
  <c r="C211" i="5" s="1"/>
  <c r="F123" i="5"/>
  <c r="I11" i="18" s="1"/>
  <c r="T18" i="7"/>
  <c r="D3" i="16"/>
  <c r="D46" i="12"/>
  <c r="D210" i="5" l="1"/>
  <c r="G108" i="5"/>
  <c r="C210" i="5"/>
  <c r="I108" i="5"/>
  <c r="F108" i="5"/>
  <c r="F237" i="5"/>
  <c r="G237" i="5" s="1"/>
  <c r="I109" i="5"/>
  <c r="F109" i="5"/>
  <c r="F6" i="5"/>
  <c r="E6" i="5"/>
  <c r="D6" i="5"/>
  <c r="C6" i="5"/>
  <c r="J59" i="5"/>
  <c r="D95" i="5" s="1"/>
  <c r="C95" i="5" s="1"/>
  <c r="E95" i="5" s="1"/>
  <c r="M95" i="5" s="1"/>
  <c r="F236" i="5" l="1"/>
  <c r="G236" i="5" s="1"/>
  <c r="F235" i="5"/>
  <c r="G235" i="5" s="1"/>
  <c r="G6" i="5"/>
  <c r="H6" i="5" s="1"/>
  <c r="H223" i="5" s="1"/>
  <c r="D9" i="5" l="1"/>
  <c r="G15" i="14" s="1"/>
  <c r="M41" i="7"/>
  <c r="K109" i="5" l="1"/>
  <c r="J109" i="5"/>
  <c r="I96" i="5"/>
  <c r="G96" i="5"/>
  <c r="G80" i="5"/>
  <c r="G79" i="5"/>
  <c r="G78" i="5"/>
  <c r="F80" i="5"/>
  <c r="F79" i="5"/>
  <c r="F78" i="5"/>
  <c r="G77" i="5"/>
  <c r="F77" i="5"/>
  <c r="F59" i="5"/>
  <c r="E59" i="5"/>
  <c r="E45" i="5"/>
  <c r="D45" i="5"/>
  <c r="C34" i="5"/>
  <c r="D34" i="5" s="1"/>
  <c r="C37" i="5"/>
  <c r="L11" i="13" s="1"/>
  <c r="D37" i="5" l="1"/>
  <c r="E37" i="5" s="1"/>
  <c r="L17" i="13"/>
  <c r="D40" i="5"/>
  <c r="L18" i="13" s="1"/>
  <c r="L4" i="13"/>
  <c r="L5" i="13"/>
  <c r="I37" i="5" l="1"/>
  <c r="L14" i="13" s="1"/>
  <c r="E40" i="5"/>
  <c r="A1" i="7"/>
  <c r="L12" i="13"/>
  <c r="C164" i="5" s="1"/>
  <c r="L13" i="13"/>
  <c r="AV28" i="7" s="1"/>
  <c r="E34" i="5"/>
  <c r="I34" i="5" s="1"/>
  <c r="G34" i="5" l="1"/>
  <c r="L22" i="13" s="1"/>
  <c r="AV40" i="7" s="1"/>
  <c r="I40" i="5"/>
  <c r="L20" i="13" s="1"/>
  <c r="L19" i="13"/>
  <c r="AV29" i="7" s="1"/>
  <c r="L7" i="13"/>
  <c r="V112" i="7"/>
  <c r="L6" i="13"/>
  <c r="AV27" i="7" s="1"/>
  <c r="AA38" i="7" l="1"/>
  <c r="P39" i="7" l="1"/>
  <c r="G109" i="5"/>
  <c r="H108" i="5" s="1"/>
  <c r="P36" i="7"/>
  <c r="D137" i="5" l="1"/>
  <c r="D136" i="5"/>
  <c r="D135" i="5"/>
  <c r="D134" i="5"/>
  <c r="D133" i="5"/>
  <c r="D132" i="5"/>
  <c r="D131" i="5"/>
  <c r="D130" i="5"/>
  <c r="D129" i="5"/>
  <c r="T19" i="7"/>
  <c r="E146" i="5" s="1"/>
  <c r="E80" i="5"/>
  <c r="E78" i="5"/>
  <c r="E77" i="5"/>
  <c r="H77" i="5" s="1"/>
  <c r="I77" i="5" s="1"/>
  <c r="M77" i="5" s="1"/>
  <c r="D59" i="5"/>
  <c r="I8" i="11"/>
  <c r="I14" i="11"/>
  <c r="T21" i="7" s="1"/>
  <c r="AA73" i="7"/>
  <c r="U73" i="7"/>
  <c r="N73" i="7"/>
  <c r="F73" i="7"/>
  <c r="T20" i="7" l="1"/>
  <c r="D189" i="5"/>
  <c r="D222" i="5"/>
  <c r="G19" i="7"/>
  <c r="C158" i="5"/>
  <c r="C16" i="5"/>
  <c r="E129" i="5"/>
  <c r="E133" i="5"/>
  <c r="E132" i="5"/>
  <c r="E131" i="5"/>
  <c r="E130" i="5"/>
  <c r="F16" i="5" l="1"/>
  <c r="E21" i="5" s="1"/>
  <c r="C20" i="15" s="1"/>
  <c r="AV21" i="7"/>
  <c r="N18" i="7"/>
  <c r="G18" i="7"/>
  <c r="D80" i="5"/>
  <c r="H80" i="5" s="1"/>
  <c r="I80" i="5" s="1"/>
  <c r="D79" i="5"/>
  <c r="D78" i="5"/>
  <c r="C59" i="5"/>
  <c r="D225" i="5" l="1"/>
  <c r="M80" i="5"/>
  <c r="D19" i="5"/>
  <c r="F21" i="5"/>
  <c r="C21" i="15" s="1"/>
  <c r="J110" i="5"/>
  <c r="E132" i="7" s="1"/>
  <c r="G21" i="5"/>
  <c r="D22" i="15" s="1"/>
  <c r="L110" i="5"/>
  <c r="AH132" i="7" s="1"/>
  <c r="D21" i="5"/>
  <c r="B20" i="15" s="1"/>
  <c r="K110" i="5"/>
  <c r="E133" i="7" s="1"/>
  <c r="G59" i="5"/>
  <c r="H59" i="5" s="1"/>
  <c r="F55" i="5" s="1"/>
  <c r="K80" i="5"/>
  <c r="AN10" i="7"/>
  <c r="AP10" i="7"/>
  <c r="Q7" i="7"/>
  <c r="D50" i="5"/>
  <c r="F50" i="5" s="1"/>
  <c r="C50" i="5"/>
  <c r="E50" i="5" s="1"/>
  <c r="F45" i="5"/>
  <c r="F46" i="5" s="1"/>
  <c r="I46" i="5" s="1"/>
  <c r="H45" i="5"/>
  <c r="H46" i="5" s="1"/>
  <c r="G45" i="5"/>
  <c r="G46" i="5" s="1"/>
  <c r="J46" i="5" s="1"/>
  <c r="E19" i="5" l="1"/>
  <c r="M110" i="5"/>
  <c r="K46" i="5"/>
  <c r="G50" i="5"/>
  <c r="H50" i="5" s="1"/>
  <c r="AK107" i="7"/>
  <c r="C14" i="10" l="1"/>
  <c r="AH8" i="7"/>
  <c r="X48" i="7" l="1"/>
  <c r="V48" i="7"/>
  <c r="T48" i="7"/>
  <c r="AW137" i="7"/>
  <c r="AK137" i="7"/>
  <c r="O93" i="7"/>
  <c r="AS138" i="7"/>
  <c r="AF62" i="7" l="1"/>
  <c r="AF59" i="7"/>
  <c r="AF53" i="7"/>
  <c r="AF50" i="7"/>
  <c r="AF47" i="7"/>
  <c r="I97" i="5"/>
  <c r="AK138" i="7"/>
  <c r="AE138" i="7"/>
  <c r="Y138" i="7"/>
  <c r="E137" i="5" l="1"/>
  <c r="E135" i="5"/>
  <c r="E136" i="5"/>
  <c r="E134" i="5"/>
  <c r="H78" i="5"/>
  <c r="I78" i="5" s="1"/>
  <c r="H79" i="5"/>
  <c r="I79" i="5" s="1"/>
  <c r="AV48" i="7"/>
  <c r="H79" i="7"/>
  <c r="H78" i="7"/>
  <c r="H77" i="7"/>
  <c r="O92" i="7"/>
  <c r="O91" i="7"/>
  <c r="O90" i="7"/>
  <c r="O89" i="7"/>
  <c r="O88" i="7"/>
  <c r="O87" i="7"/>
  <c r="O86" i="7"/>
  <c r="O85" i="7"/>
  <c r="O84" i="7"/>
  <c r="O83" i="7"/>
  <c r="O82" i="7"/>
  <c r="O81" i="7"/>
  <c r="AV23" i="7"/>
  <c r="D224" i="5" l="1"/>
  <c r="M79" i="5"/>
  <c r="D223" i="5"/>
  <c r="M78" i="5"/>
  <c r="K79" i="5"/>
  <c r="K78" i="5"/>
  <c r="F129" i="5"/>
  <c r="D8" i="5" s="1"/>
  <c r="E134" i="7"/>
  <c r="AT132" i="7"/>
  <c r="P132" i="7"/>
  <c r="V132" i="7"/>
  <c r="AV64" i="7"/>
  <c r="AV63" i="7"/>
  <c r="AV62" i="7"/>
  <c r="AV61" i="7"/>
  <c r="AV60" i="7"/>
  <c r="AS107" i="7"/>
  <c r="AX107" i="7"/>
  <c r="AH107" i="7"/>
  <c r="L114" i="7"/>
  <c r="G114" i="7"/>
  <c r="L113" i="7"/>
  <c r="G113" i="7"/>
  <c r="L112" i="7"/>
  <c r="G112" i="7"/>
  <c r="Q114" i="7"/>
  <c r="P38" i="12"/>
  <c r="P15" i="12"/>
  <c r="J101" i="5"/>
  <c r="I101" i="5"/>
  <c r="G101" i="5"/>
  <c r="F101" i="5"/>
  <c r="AA41" i="7"/>
  <c r="M40" i="7"/>
  <c r="L38" i="7"/>
  <c r="J102" i="5"/>
  <c r="I102" i="5"/>
  <c r="G102" i="5"/>
  <c r="F102" i="5"/>
  <c r="J100" i="5"/>
  <c r="I100" i="5"/>
  <c r="G100" i="5"/>
  <c r="F100" i="5"/>
  <c r="J99" i="5"/>
  <c r="I99" i="5"/>
  <c r="G99" i="5"/>
  <c r="F99" i="5"/>
  <c r="J98" i="5"/>
  <c r="I98" i="5"/>
  <c r="G98" i="5"/>
  <c r="J97" i="5"/>
  <c r="G97" i="5"/>
  <c r="F97" i="5"/>
  <c r="J96" i="5"/>
  <c r="F254" i="5" l="1"/>
  <c r="G254" i="5" s="1"/>
  <c r="F255" i="5"/>
  <c r="G255" i="5" s="1"/>
  <c r="F256" i="5"/>
  <c r="G256" i="5" s="1"/>
  <c r="F253" i="5"/>
  <c r="G253" i="5" s="1"/>
  <c r="K77" i="5"/>
  <c r="N77" i="5" s="1"/>
  <c r="L80" i="5"/>
  <c r="L79" i="5"/>
  <c r="L78" i="5"/>
  <c r="L77" i="5"/>
  <c r="D90" i="5"/>
  <c r="D89" i="5"/>
  <c r="D88" i="5"/>
  <c r="E55" i="5"/>
  <c r="AV24" i="7"/>
  <c r="AV45" i="7"/>
  <c r="E174" i="5" s="1"/>
  <c r="V114" i="7"/>
  <c r="O94" i="7"/>
  <c r="E183" i="5"/>
  <c r="E172" i="5"/>
  <c r="C172" i="5" s="1"/>
  <c r="F172" i="5" s="1"/>
  <c r="Q113" i="7"/>
  <c r="AB114" i="7"/>
  <c r="Q112" i="7"/>
  <c r="AT115" i="7"/>
  <c r="AK115" i="7"/>
  <c r="AH115" i="7"/>
  <c r="AY114" i="7"/>
  <c r="AT114" i="7"/>
  <c r="AK114" i="7"/>
  <c r="AH114" i="7"/>
  <c r="AY113" i="7"/>
  <c r="AT113" i="7"/>
  <c r="AK113" i="7"/>
  <c r="AH113" i="7"/>
  <c r="Z65" i="7" l="1"/>
  <c r="AV51" i="7"/>
  <c r="AB112" i="7"/>
  <c r="AB113" i="7"/>
  <c r="AV26" i="7"/>
  <c r="AV25" i="7"/>
  <c r="AV20" i="7"/>
  <c r="AV19" i="7"/>
  <c r="AV18" i="7"/>
  <c r="E182" i="5" s="1"/>
  <c r="AV17" i="7"/>
  <c r="E181" i="5" s="1"/>
  <c r="AV16" i="7"/>
  <c r="E180" i="5" s="1"/>
  <c r="AY115" i="7"/>
  <c r="AV32" i="7"/>
  <c r="AV31" i="7"/>
  <c r="AO140" i="7"/>
  <c r="Y140" i="7"/>
  <c r="Y142" i="7"/>
  <c r="AQ137" i="7"/>
  <c r="AE137" i="7"/>
  <c r="Y137" i="7"/>
  <c r="O142" i="7"/>
  <c r="F142" i="7"/>
  <c r="S139" i="7"/>
  <c r="F139" i="7"/>
  <c r="F138" i="7"/>
  <c r="AV37" i="7" l="1"/>
  <c r="AA115" i="7"/>
  <c r="P39" i="12"/>
  <c r="AV38" i="7" s="1"/>
  <c r="AV33" i="7"/>
  <c r="AD32" i="7"/>
  <c r="AB31" i="7"/>
  <c r="S31" i="7"/>
  <c r="H31" i="7"/>
  <c r="AV34" i="7" l="1"/>
  <c r="E179" i="5" s="1"/>
  <c r="E178" i="5"/>
  <c r="X39" i="7"/>
  <c r="L37" i="7"/>
  <c r="X36" i="7"/>
  <c r="L35" i="7"/>
  <c r="L34" i="7"/>
  <c r="X63" i="7"/>
  <c r="V63" i="7"/>
  <c r="T63" i="7"/>
  <c r="G63" i="7"/>
  <c r="G62" i="7"/>
  <c r="X60" i="7"/>
  <c r="V60" i="7"/>
  <c r="T60" i="7"/>
  <c r="G60" i="7"/>
  <c r="G59" i="7"/>
  <c r="AF56" i="7"/>
  <c r="X57" i="7"/>
  <c r="V57" i="7"/>
  <c r="T57" i="7"/>
  <c r="G57" i="7"/>
  <c r="G56" i="7"/>
  <c r="X54" i="7"/>
  <c r="V54" i="7"/>
  <c r="T54" i="7"/>
  <c r="G54" i="7"/>
  <c r="G53" i="7"/>
  <c r="X51" i="7"/>
  <c r="V51" i="7"/>
  <c r="T51" i="7"/>
  <c r="G51" i="7"/>
  <c r="G50" i="7"/>
  <c r="G48" i="7"/>
  <c r="G47" i="7"/>
  <c r="AF44" i="7"/>
  <c r="X45" i="7"/>
  <c r="V45" i="7"/>
  <c r="T45" i="7"/>
  <c r="G45" i="7"/>
  <c r="G44" i="7"/>
  <c r="T43" i="7"/>
  <c r="AD41" i="7"/>
  <c r="AF41" i="7"/>
  <c r="T30" i="7"/>
  <c r="G30" i="7"/>
  <c r="G28" i="7"/>
  <c r="G26" i="7"/>
  <c r="T24" i="7"/>
  <c r="G24" i="7"/>
  <c r="AV43" i="7"/>
  <c r="H26" i="5" l="1"/>
  <c r="I26" i="5" s="1"/>
  <c r="E27" i="5" s="1"/>
  <c r="AV42" i="7"/>
  <c r="E26" i="5" l="1"/>
  <c r="AR12" i="7"/>
  <c r="AL10" i="7"/>
  <c r="T26" i="7"/>
  <c r="J26" i="5" l="1"/>
  <c r="F19" i="5" s="1"/>
  <c r="G19" i="5" s="1"/>
  <c r="E175" i="5"/>
  <c r="AD52" i="7"/>
  <c r="AD55" i="7"/>
  <c r="AD49" i="7"/>
  <c r="AD46" i="7"/>
  <c r="AV44" i="7" l="1"/>
  <c r="E173" i="5" l="1"/>
  <c r="C173" i="5" s="1"/>
  <c r="F173" i="5" l="1"/>
  <c r="C174" i="5"/>
  <c r="AV36" i="7"/>
  <c r="E158" i="5" s="1"/>
  <c r="AV35" i="7"/>
  <c r="F174" i="5" l="1"/>
  <c r="C175" i="5"/>
  <c r="AV39" i="7"/>
  <c r="F158" i="5" s="1"/>
  <c r="F175" i="5" l="1"/>
  <c r="AV41" i="7"/>
  <c r="D229" i="5" l="1"/>
  <c r="D117" i="5"/>
  <c r="C115" i="5"/>
  <c r="AV46" i="7" s="1"/>
  <c r="E161" i="5"/>
  <c r="AV52" i="7" s="1"/>
  <c r="C261" i="5"/>
  <c r="C205" i="5"/>
  <c r="F240" i="5" s="1"/>
  <c r="G240" i="5" s="1"/>
  <c r="C202" i="5"/>
  <c r="C55" i="5"/>
  <c r="J123" i="5"/>
  <c r="D123" i="5" s="1"/>
  <c r="D294" i="5" l="1"/>
  <c r="F257" i="5"/>
  <c r="G257" i="5" s="1"/>
  <c r="E294" i="5"/>
  <c r="F294" i="5"/>
  <c r="I223" i="5"/>
  <c r="E202" i="5"/>
  <c r="I17" i="21"/>
  <c r="N216" i="5"/>
  <c r="H216" i="5"/>
  <c r="M215" i="5"/>
  <c r="G215" i="5"/>
  <c r="M214" i="5"/>
  <c r="G214" i="5"/>
  <c r="G216" i="5"/>
  <c r="L215" i="5"/>
  <c r="F215" i="5"/>
  <c r="F250" i="5" s="1"/>
  <c r="G250" i="5" s="1"/>
  <c r="L214" i="5"/>
  <c r="F214" i="5"/>
  <c r="F248" i="5" s="1"/>
  <c r="G248" i="5" s="1"/>
  <c r="M216" i="5"/>
  <c r="F216" i="5"/>
  <c r="F252" i="5" s="1"/>
  <c r="G252" i="5" s="1"/>
  <c r="E214" i="5"/>
  <c r="K216" i="5"/>
  <c r="E216" i="5"/>
  <c r="F251" i="5" s="1"/>
  <c r="G251" i="5" s="1"/>
  <c r="J215" i="5"/>
  <c r="J214" i="5"/>
  <c r="K215" i="5"/>
  <c r="K214" i="5"/>
  <c r="J216" i="5"/>
  <c r="O215" i="5"/>
  <c r="I215" i="5"/>
  <c r="O214" i="5"/>
  <c r="I214" i="5"/>
  <c r="O216" i="5"/>
  <c r="I216" i="5"/>
  <c r="N215" i="5"/>
  <c r="H215" i="5"/>
  <c r="N214" i="5"/>
  <c r="H214" i="5"/>
  <c r="L216" i="5"/>
  <c r="E215" i="5"/>
  <c r="H116" i="5"/>
  <c r="I4" i="18"/>
  <c r="L69" i="5"/>
  <c r="I69" i="5"/>
  <c r="H68" i="5"/>
  <c r="K68" i="5"/>
  <c r="I68" i="5"/>
  <c r="K67" i="5"/>
  <c r="L67" i="5"/>
  <c r="F69" i="5"/>
  <c r="F67" i="5"/>
  <c r="K69" i="5"/>
  <c r="E69" i="5"/>
  <c r="J69" i="5"/>
  <c r="G68" i="5"/>
  <c r="F68" i="5"/>
  <c r="E68" i="5"/>
  <c r="G67" i="5"/>
  <c r="E67" i="5"/>
  <c r="L68" i="5"/>
  <c r="K59" i="5"/>
  <c r="H69" i="5"/>
  <c r="I67" i="5"/>
  <c r="L59" i="5"/>
  <c r="J67" i="5"/>
  <c r="H67" i="5"/>
  <c r="G69" i="5"/>
  <c r="M59" i="5"/>
  <c r="J68" i="5"/>
  <c r="AV47" i="7"/>
  <c r="E184" i="5" s="1"/>
  <c r="D216" i="5" l="1"/>
  <c r="F239" i="5"/>
  <c r="G239" i="5" s="1"/>
  <c r="F238" i="5"/>
  <c r="G238" i="5" s="1"/>
  <c r="F249" i="5"/>
  <c r="G249" i="5" s="1"/>
  <c r="D215" i="5"/>
  <c r="F247" i="5"/>
  <c r="G247" i="5" s="1"/>
  <c r="D214" i="5"/>
  <c r="H123" i="5"/>
  <c r="D67" i="5"/>
  <c r="N59" i="5"/>
  <c r="C63" i="5" s="1"/>
  <c r="D69" i="5"/>
  <c r="D68" i="5"/>
  <c r="H161" i="5"/>
  <c r="AQ55" i="7" s="1"/>
  <c r="D220" i="5" l="1"/>
  <c r="C161" i="5"/>
  <c r="AV49" i="7" s="1"/>
  <c r="C220" i="5"/>
  <c r="G161" i="5"/>
  <c r="D161" i="5"/>
  <c r="AV50" i="7" s="1"/>
  <c r="AV55" i="7" l="1"/>
  <c r="E176" i="5" s="1"/>
  <c r="C176" i="5" s="1"/>
  <c r="F210" i="5"/>
  <c r="D231" i="5" s="1"/>
  <c r="G232" i="5" s="1"/>
  <c r="D264" i="5" s="1"/>
  <c r="F264" i="5" s="1"/>
  <c r="H297" i="5" s="1"/>
  <c r="F161" i="5"/>
  <c r="AV53" i="7" s="1"/>
  <c r="F241" i="5"/>
  <c r="F245" i="5"/>
  <c r="G245" i="5" s="1"/>
  <c r="F243" i="5"/>
  <c r="G243" i="5" s="1"/>
  <c r="F244" i="5"/>
  <c r="G244" i="5" s="1"/>
  <c r="F246" i="5"/>
  <c r="G246" i="5" s="1"/>
  <c r="F242" i="5"/>
  <c r="G242" i="5" s="1"/>
  <c r="F176" i="5" l="1"/>
  <c r="E177" i="5"/>
  <c r="I161" i="5"/>
  <c r="AV56" i="7" s="1"/>
  <c r="D261" i="5" s="1"/>
  <c r="E261" i="5" s="1"/>
  <c r="F220" i="5"/>
  <c r="G241" i="5"/>
  <c r="G258" i="5" s="1"/>
  <c r="I261" i="5" s="1"/>
  <c r="C177" i="5" l="1"/>
  <c r="F230" i="5"/>
  <c r="F227" i="5"/>
  <c r="J264" i="5" s="1"/>
  <c r="F177" i="5" l="1"/>
  <c r="C178" i="5"/>
  <c r="D310" i="5"/>
  <c r="C310" i="5"/>
  <c r="I18" i="21"/>
  <c r="K264" i="5"/>
  <c r="I19" i="21"/>
  <c r="F178" i="5" l="1"/>
  <c r="C179" i="5"/>
  <c r="E310" i="5"/>
  <c r="G27" i="21"/>
  <c r="J27" i="21"/>
  <c r="H27" i="21"/>
  <c r="K27" i="21"/>
  <c r="D285" i="5"/>
  <c r="D288" i="5" s="1"/>
  <c r="C285" i="5"/>
  <c r="C288" i="5" s="1"/>
  <c r="F261" i="5"/>
  <c r="J261" i="5"/>
  <c r="K261" i="5" s="1"/>
  <c r="K304" i="5" s="1"/>
  <c r="J29" i="21" s="1"/>
  <c r="G261" i="5"/>
  <c r="F179" i="5" l="1"/>
  <c r="C180" i="5"/>
  <c r="E288" i="5"/>
  <c r="I27" i="21"/>
  <c r="L27" i="21"/>
  <c r="D291" i="5"/>
  <c r="H21" i="21"/>
  <c r="G21" i="21"/>
  <c r="E285" i="5"/>
  <c r="H261" i="5"/>
  <c r="C181" i="5" l="1"/>
  <c r="F180" i="5"/>
  <c r="M261" i="5"/>
  <c r="L261" i="5"/>
  <c r="D232" i="5" s="1"/>
  <c r="C264" i="5" s="1"/>
  <c r="E295" i="5"/>
  <c r="I22" i="21"/>
  <c r="H22" i="21"/>
  <c r="G22" i="21"/>
  <c r="I21" i="21"/>
  <c r="C291" i="5"/>
  <c r="C182" i="5" l="1"/>
  <c r="F181" i="5"/>
  <c r="D295" i="5"/>
  <c r="D298" i="5" s="1"/>
  <c r="G277" i="5"/>
  <c r="D278" i="5"/>
  <c r="D277" i="5"/>
  <c r="G278" i="5"/>
  <c r="G276" i="5" s="1"/>
  <c r="E264" i="5"/>
  <c r="E298" i="5"/>
  <c r="C301" i="5"/>
  <c r="D301" i="5"/>
  <c r="E291" i="5"/>
  <c r="C8" i="21"/>
  <c r="C183" i="5" l="1"/>
  <c r="F182" i="5"/>
  <c r="D276" i="5"/>
  <c r="D279" i="5" s="1"/>
  <c r="H264" i="5"/>
  <c r="C11" i="21" s="1"/>
  <c r="H304" i="5"/>
  <c r="H308" i="5" s="1"/>
  <c r="I304" i="5"/>
  <c r="I308" i="5" s="1"/>
  <c r="H24" i="21"/>
  <c r="F295" i="5"/>
  <c r="D296" i="5" s="1"/>
  <c r="D297" i="5" s="1"/>
  <c r="F298" i="5"/>
  <c r="G23" i="21"/>
  <c r="E301" i="5"/>
  <c r="H23" i="21"/>
  <c r="G279" i="5"/>
  <c r="C184" i="5" l="1"/>
  <c r="F183" i="5"/>
  <c r="G304" i="5"/>
  <c r="G307" i="5" s="1"/>
  <c r="D304" i="5"/>
  <c r="F296" i="5"/>
  <c r="E296" i="5"/>
  <c r="G24" i="21"/>
  <c r="C185" i="5" l="1"/>
  <c r="F185" i="5" s="1"/>
  <c r="I175" i="7" s="1"/>
  <c r="H175" i="7" s="1"/>
  <c r="F184" i="5"/>
  <c r="H307" i="5"/>
  <c r="G25" i="21" s="1"/>
  <c r="I25" i="21"/>
  <c r="E297" i="5"/>
  <c r="E304" i="5" s="1"/>
  <c r="C304" i="5" s="1"/>
  <c r="C307" i="5" s="1"/>
  <c r="L25" i="21" s="1"/>
  <c r="I170" i="7" l="1"/>
  <c r="H170" i="7" s="1"/>
  <c r="I168" i="7"/>
  <c r="H168" i="7" s="1"/>
  <c r="I167" i="7"/>
  <c r="H167" i="7" s="1"/>
  <c r="I171" i="7"/>
  <c r="H171" i="7" s="1"/>
  <c r="I165" i="7"/>
  <c r="H165" i="7" s="1"/>
  <c r="I169" i="7"/>
  <c r="H169" i="7" s="1"/>
  <c r="I173" i="7"/>
  <c r="H173" i="7" s="1"/>
  <c r="I166" i="7"/>
  <c r="H166" i="7" s="1"/>
  <c r="I164" i="7"/>
  <c r="H164" i="7" s="1"/>
  <c r="I172" i="7"/>
  <c r="H172" i="7" s="1"/>
  <c r="I174" i="7"/>
  <c r="H174" i="7" s="1"/>
  <c r="G313" i="5"/>
  <c r="G317" i="5" s="1"/>
  <c r="I307" i="5"/>
  <c r="F297" i="5"/>
  <c r="K24" i="21"/>
  <c r="J24" i="21"/>
  <c r="H25" i="21" l="1"/>
  <c r="D307" i="5"/>
  <c r="E307" i="5"/>
  <c r="K25" i="21" s="1"/>
  <c r="C313" i="5" l="1"/>
  <c r="J26" i="21" s="1"/>
  <c r="J25" i="21"/>
  <c r="H313" i="5"/>
  <c r="D313" i="5"/>
  <c r="C317" i="5" l="1"/>
  <c r="J28" i="21" s="1"/>
  <c r="D317" i="5"/>
  <c r="K28" i="21" s="1"/>
  <c r="K26" i="21"/>
  <c r="H317" i="5"/>
  <c r="H28" i="21" s="1"/>
  <c r="I317" i="5"/>
  <c r="I28" i="21" s="1"/>
  <c r="E317" i="5"/>
  <c r="L28" i="21" s="1"/>
  <c r="E313" i="5"/>
  <c r="L26" i="21" s="1"/>
  <c r="G26" i="21"/>
  <c r="G28" i="21"/>
  <c r="I313" i="5"/>
  <c r="I26" i="21" s="1"/>
  <c r="H26" i="21"/>
  <c r="I29" i="21"/>
  <c r="C98" i="5"/>
  <c r="E98" i="5" s="1"/>
  <c r="C99" i="5"/>
  <c r="E99" i="5" s="1"/>
  <c r="C101" i="5"/>
  <c r="E101" i="5" s="1"/>
  <c r="C100" i="5"/>
  <c r="E100" i="5" s="1"/>
  <c r="C102" i="5"/>
  <c r="E102" i="5" s="1"/>
  <c r="C97" i="5"/>
  <c r="E97" i="5" s="1"/>
  <c r="C96" i="5"/>
  <c r="E96" i="5" s="1"/>
  <c r="M96" i="5" l="1"/>
  <c r="Q98" i="5"/>
  <c r="S99" i="5"/>
  <c r="S101" i="5"/>
  <c r="Q99" i="5"/>
  <c r="R97" i="5"/>
  <c r="X121" i="7" s="1"/>
  <c r="O99" i="5"/>
  <c r="G129" i="7" s="1"/>
  <c r="N97" i="5"/>
  <c r="G122" i="7" s="1"/>
  <c r="T98" i="5"/>
  <c r="U98" i="5" s="1"/>
  <c r="T97" i="5"/>
  <c r="U97" i="5" s="1"/>
  <c r="O97" i="5"/>
  <c r="G123" i="7" s="1"/>
  <c r="T99" i="5"/>
  <c r="U99" i="5" s="1"/>
  <c r="M99" i="5"/>
  <c r="G127" i="7" s="1"/>
  <c r="N99" i="5"/>
  <c r="G128" i="7" s="1"/>
  <c r="P98" i="5"/>
  <c r="Q97" i="5"/>
  <c r="M98" i="5"/>
  <c r="G124" i="7" s="1"/>
  <c r="M97" i="5"/>
  <c r="G121" i="7" s="1"/>
  <c r="O98" i="5"/>
  <c r="G126" i="7" s="1"/>
  <c r="T96" i="5"/>
  <c r="U96" i="5" s="1"/>
  <c r="P97" i="5"/>
  <c r="P99" i="5"/>
  <c r="S96" i="5"/>
  <c r="N98" i="5"/>
  <c r="G125" i="7" s="1"/>
  <c r="R98" i="5"/>
  <c r="X124" i="7" s="1"/>
  <c r="R99" i="5"/>
  <c r="X127" i="7" s="1"/>
  <c r="S98" i="5"/>
  <c r="N96" i="5"/>
  <c r="P96" i="5"/>
  <c r="O96" i="5"/>
  <c r="S97" i="5"/>
  <c r="R96" i="5"/>
  <c r="Q96" i="5"/>
  <c r="S100" i="5"/>
  <c r="Q95" i="5"/>
  <c r="O95" i="5"/>
  <c r="P95" i="5"/>
  <c r="N95" i="5"/>
  <c r="S95" i="5"/>
  <c r="T95" i="5"/>
  <c r="U95" i="5" s="1"/>
  <c r="R95" i="5"/>
  <c r="X129" i="7" l="1"/>
  <c r="X126" i="7"/>
  <c r="X123" i="7"/>
  <c r="G118" i="7"/>
  <c r="G120" i="7"/>
  <c r="X120" i="7"/>
  <c r="G119" i="7"/>
  <c r="X118" i="7"/>
</calcChain>
</file>

<file path=xl/sharedStrings.xml><?xml version="1.0" encoding="utf-8"?>
<sst xmlns="http://schemas.openxmlformats.org/spreadsheetml/2006/main" count="2367" uniqueCount="1540">
  <si>
    <t>医療費控除</t>
  </si>
  <si>
    <t>支払った医療費等</t>
  </si>
  <si>
    <t>配偶者</t>
  </si>
  <si>
    <t>生年月日</t>
  </si>
  <si>
    <t>氏名</t>
  </si>
  <si>
    <t>個人番号</t>
  </si>
  <si>
    <t>雑損控除</t>
  </si>
  <si>
    <t>損害の原因</t>
  </si>
  <si>
    <t>損害年月日</t>
  </si>
  <si>
    <t>損害を受けた資産の種類</t>
  </si>
  <si>
    <t>損害金額</t>
  </si>
  <si>
    <t>支　払　額</t>
  </si>
  <si>
    <t>合　　計</t>
  </si>
  <si>
    <t>新生命保険料の計</t>
  </si>
  <si>
    <t>旧生命保険料の計</t>
  </si>
  <si>
    <t>新個人年金保険料の計</t>
  </si>
  <si>
    <t>旧個人年金保険料の計</t>
  </si>
  <si>
    <t>介護医療保険料の計</t>
  </si>
  <si>
    <t>□</t>
  </si>
  <si>
    <t>給与から差引（特別徴収）</t>
  </si>
  <si>
    <t>受　付　印</t>
  </si>
  <si>
    <t>フリガナ</t>
  </si>
  <si>
    <t>氏    名</t>
  </si>
  <si>
    <t>生年
月日</t>
  </si>
  <si>
    <t>職業・業種</t>
  </si>
  <si>
    <t>条例指定分</t>
  </si>
  <si>
    <t>営業等</t>
  </si>
  <si>
    <t>ア</t>
  </si>
  <si>
    <t>農業</t>
  </si>
  <si>
    <t>イ</t>
  </si>
  <si>
    <t>不動産</t>
  </si>
  <si>
    <t>ウ</t>
  </si>
  <si>
    <t>利子</t>
  </si>
  <si>
    <t>エ</t>
  </si>
  <si>
    <t>配当</t>
  </si>
  <si>
    <t>オ</t>
  </si>
  <si>
    <t>一般</t>
  </si>
  <si>
    <t>カ</t>
  </si>
  <si>
    <t>青色</t>
  </si>
  <si>
    <t>白色</t>
  </si>
  <si>
    <t>キ</t>
  </si>
  <si>
    <t>その他</t>
  </si>
  <si>
    <t>ク</t>
  </si>
  <si>
    <t>短期</t>
  </si>
  <si>
    <t>長期</t>
  </si>
  <si>
    <t>一時</t>
  </si>
  <si>
    <t>給
与
等</t>
  </si>
  <si>
    <t>専
給</t>
  </si>
  <si>
    <t>雑</t>
  </si>
  <si>
    <t>①</t>
  </si>
  <si>
    <t>②</t>
  </si>
  <si>
    <t>③</t>
  </si>
  <si>
    <t>④</t>
  </si>
  <si>
    <t>⑤</t>
  </si>
  <si>
    <t>給与</t>
  </si>
  <si>
    <t>⑥</t>
  </si>
  <si>
    <t>⑦</t>
  </si>
  <si>
    <t>合計</t>
  </si>
  <si>
    <t>所
得
金
額</t>
  </si>
  <si>
    <t>社会保険料控除</t>
  </si>
  <si>
    <t>生命保険料控除</t>
  </si>
  <si>
    <t>地震保険料控除</t>
  </si>
  <si>
    <t>配偶者控除</t>
  </si>
  <si>
    <t>配偶者特別控除</t>
  </si>
  <si>
    <t>扶養控除</t>
  </si>
  <si>
    <t>基礎控除</t>
  </si>
  <si>
    <t>区分</t>
  </si>
  <si>
    <t>円</t>
  </si>
  <si>
    <t>受
付
日</t>
  </si>
  <si>
    <t>受
付
者</t>
  </si>
  <si>
    <t>分離課税に係る所得等がある方は、市民税・県民税申告書（分離課税用）をあわせて提出してください。用紙は税務課に用意してあります。
この申告書を提出した方は事業税の申告書を提出する必要がありません。</t>
  </si>
  <si>
    <t>確認欄</t>
  </si>
  <si>
    <t>A</t>
  </si>
  <si>
    <t>B</t>
  </si>
  <si>
    <t>C</t>
  </si>
  <si>
    <t>D</t>
  </si>
  <si>
    <t>E</t>
  </si>
  <si>
    <t>障害の
程度</t>
  </si>
  <si>
    <t>同居・
別居の
区分</t>
  </si>
  <si>
    <t>続柄</t>
  </si>
  <si>
    <t>氏
名</t>
  </si>
  <si>
    <t>控除額</t>
  </si>
  <si>
    <t>同居・別居の
区分</t>
  </si>
  <si>
    <t>同居・別居の区分</t>
  </si>
  <si>
    <t>扶養控除額の合計</t>
  </si>
  <si>
    <t>月</t>
  </si>
  <si>
    <t>日       給</t>
  </si>
  <si>
    <t>日 数</t>
  </si>
  <si>
    <t>月  収</t>
  </si>
  <si>
    <t>売上(収入)金額</t>
  </si>
  <si>
    <t>必要経費</t>
  </si>
  <si>
    <t>日</t>
  </si>
  <si>
    <t>１１ 総合譲渡・一時所得の所得金額に関する事項</t>
  </si>
  <si>
    <t>収入金額</t>
  </si>
  <si>
    <t>特別控除額</t>
  </si>
  <si>
    <t>総合
譲渡</t>
  </si>
  <si>
    <t>所得金額</t>
  </si>
  <si>
    <t>ハ</t>
  </si>
  <si>
    <t>種目</t>
  </si>
  <si>
    <t>支払確定年月</t>
  </si>
  <si>
    <t>・</t>
  </si>
  <si>
    <t>住所</t>
  </si>
  <si>
    <t>また、学生の場合、本年１月１日現在で記入してください。</t>
  </si>
  <si>
    <t>学校名</t>
  </si>
  <si>
    <t>項　　　　　目</t>
  </si>
  <si>
    <t>金　　　　額</t>
  </si>
  <si>
    <t>売上（収入）金額
　（雑収入含む）</t>
  </si>
  <si>
    <t>期首棚卸高</t>
  </si>
  <si>
    <t>仕入金額</t>
  </si>
  <si>
    <t>小計(①+②)</t>
  </si>
  <si>
    <t>期末棚卸高</t>
  </si>
  <si>
    <t>続
柄</t>
  </si>
  <si>
    <t>専従者給与
（控除）額</t>
  </si>
  <si>
    <t>所得税における青色申告の承認の有無</t>
  </si>
  <si>
    <t>承認あり・承認なし</t>
  </si>
  <si>
    <t>合計額</t>
  </si>
  <si>
    <t>非課税所得など</t>
  </si>
  <si>
    <t>前年中の開廃業</t>
  </si>
  <si>
    <t>開始・廃止</t>
  </si>
  <si>
    <t>月   日</t>
  </si>
  <si>
    <t>番号</t>
  </si>
  <si>
    <t>損失額、被災損失額(白)</t>
  </si>
  <si>
    <t>他都道府県の事務所等</t>
  </si>
  <si>
    <t>(1月1日と異なる場合のみ記載してください)</t>
    <rPh sb="2" eb="3">
      <t>がつ</t>
    </rPh>
    <rPh sb="4" eb="5">
      <t>にち</t>
    </rPh>
    <rPh sb="6" eb="7">
      <t>こと</t>
    </rPh>
    <rPh sb="9" eb="11">
      <t>ばあい</t>
    </rPh>
    <rPh sb="13" eb="15">
      <t>きさい</t>
    </rPh>
    <phoneticPr fontId="2" type="noConversion"/>
  </si>
  <si>
    <t>電話番号(自宅・携帯)</t>
    <phoneticPr fontId="2" type="noConversion"/>
  </si>
  <si>
    <t>社会保険の種類</t>
    <phoneticPr fontId="2" type="noConversion"/>
  </si>
  <si>
    <t>３ 所得から差し引かれる金額に関する事項</t>
    <phoneticPr fontId="2" type="noConversion"/>
  </si>
  <si>
    <t>現 住 所</t>
    <phoneticPr fontId="2" type="noConversion"/>
  </si>
  <si>
    <t>　　年　　月　　日提出</t>
    <phoneticPr fontId="2" type="noConversion"/>
  </si>
  <si>
    <t>寡婦控除</t>
    <rPh sb="0" eb="2">
      <t>かふ</t>
    </rPh>
    <rPh sb="2" eb="4">
      <t>こうじょ</t>
    </rPh>
    <phoneticPr fontId="2" type="noConversion"/>
  </si>
  <si>
    <t>死別</t>
    <rPh sb="0" eb="2">
      <t>しべつ</t>
    </rPh>
    <phoneticPr fontId="2" type="noConversion"/>
  </si>
  <si>
    <t>離婚</t>
    <rPh sb="0" eb="2">
      <t>りこん</t>
    </rPh>
    <phoneticPr fontId="2" type="noConversion"/>
  </si>
  <si>
    <t>生死不明</t>
    <phoneticPr fontId="2" type="noConversion"/>
  </si>
  <si>
    <t>未帰還</t>
    <phoneticPr fontId="2" type="noConversion"/>
  </si>
  <si>
    <t>ひとり親控除</t>
    <rPh sb="3" eb="4">
      <t>おや</t>
    </rPh>
    <rPh sb="4" eb="6">
      <t>こうじょ</t>
    </rPh>
    <phoneticPr fontId="2" type="noConversion"/>
  </si>
  <si>
    <t>勤労学生控除</t>
    <rPh sb="0" eb="2">
      <t>きんろう</t>
    </rPh>
    <rPh sb="2" eb="4">
      <t>がくせい</t>
    </rPh>
    <rPh sb="4" eb="6">
      <t>こうじょ</t>
    </rPh>
    <phoneticPr fontId="2" type="noConversion"/>
  </si>
  <si>
    <t>16
歳
未
満
の
扶
養
親
族</t>
    <rPh sb="3" eb="4">
      <t>さい</t>
    </rPh>
    <rPh sb="5" eb="6">
      <t>ﾐ</t>
    </rPh>
    <rPh sb="7" eb="8">
      <t>ﾐﾂﾙ</t>
    </rPh>
    <rPh sb="11" eb="12">
      <t>ﾌ</t>
    </rPh>
    <rPh sb="13" eb="14">
      <t>ﾖｳ</t>
    </rPh>
    <rPh sb="15" eb="16">
      <t>ﾁｶｼ</t>
    </rPh>
    <rPh sb="17" eb="18">
      <t>ｿﾞｸ</t>
    </rPh>
    <phoneticPr fontId="2" type="noConversion"/>
  </si>
  <si>
    <t>長期</t>
    <rPh sb="0" eb="2">
      <t>ちょうき</t>
    </rPh>
    <phoneticPr fontId="2" type="noConversion"/>
  </si>
  <si>
    <t>年</t>
    <rPh sb="0" eb="1">
      <t>ねん</t>
    </rPh>
    <phoneticPr fontId="2" type="noConversion"/>
  </si>
  <si>
    <t>月</t>
    <rPh sb="0" eb="1">
      <t>がつ</t>
    </rPh>
    <phoneticPr fontId="2" type="noConversion"/>
  </si>
  <si>
    <t>日</t>
    <rPh sb="0" eb="1">
      <t>ひ</t>
    </rPh>
    <phoneticPr fontId="2" type="noConversion"/>
  </si>
  <si>
    <t>フリガナ</t>
    <phoneticPr fontId="2" type="noConversion"/>
  </si>
  <si>
    <t>カナ</t>
  </si>
  <si>
    <t>カナ</t>
    <phoneticPr fontId="2" type="noConversion"/>
  </si>
  <si>
    <t>月</t>
    <rPh sb="0" eb="1">
      <t>つき</t>
    </rPh>
    <phoneticPr fontId="2" type="noConversion"/>
  </si>
  <si>
    <t>「個人番号」欄には、個人番号(行政手続における特定の個人を識別するための番号
の利用等に関する法律第2条第5項に規定する個人番号をいう。)を記載してください。</t>
    <phoneticPr fontId="2" type="noConversion"/>
  </si>
  <si>
    <t>⑯</t>
    <phoneticPr fontId="2" type="noConversion"/>
  </si>
  <si>
    <t>勤労学生</t>
    <phoneticPr fontId="2" type="noConversion"/>
  </si>
  <si>
    <t>障害者控除</t>
    <phoneticPr fontId="2" type="noConversion"/>
  </si>
  <si>
    <t>西暦</t>
    <rPh sb="0" eb="2">
      <t>せいれき</t>
    </rPh>
    <phoneticPr fontId="2" type="noConversion"/>
  </si>
  <si>
    <t>控除額</t>
    <rPh sb="0" eb="2">
      <t>こうじょ</t>
    </rPh>
    <rPh sb="2" eb="3">
      <t>がく</t>
    </rPh>
    <phoneticPr fontId="2" type="noConversion"/>
  </si>
  <si>
    <t>手帳の等級や要介護度</t>
    <rPh sb="0" eb="2">
      <t>てちょう</t>
    </rPh>
    <rPh sb="3" eb="5">
      <t>とうきゅう</t>
    </rPh>
    <rPh sb="6" eb="9">
      <t>ようかいご</t>
    </rPh>
    <rPh sb="9" eb="10">
      <t>ど</t>
    </rPh>
    <phoneticPr fontId="2" type="noConversion"/>
  </si>
  <si>
    <t>新生命</t>
    <rPh sb="0" eb="1">
      <t>しん</t>
    </rPh>
    <rPh sb="1" eb="3">
      <t>せいめい</t>
    </rPh>
    <phoneticPr fontId="2" type="noConversion"/>
  </si>
  <si>
    <t>旧生命</t>
    <rPh sb="0" eb="1">
      <t>きゅう</t>
    </rPh>
    <rPh sb="1" eb="3">
      <t>せいめい</t>
    </rPh>
    <phoneticPr fontId="2" type="noConversion"/>
  </si>
  <si>
    <t>旧個人</t>
    <rPh sb="0" eb="1">
      <t>きゅう</t>
    </rPh>
    <rPh sb="1" eb="3">
      <t>こじん</t>
    </rPh>
    <phoneticPr fontId="2" type="noConversion"/>
  </si>
  <si>
    <t>新個人</t>
    <rPh sb="0" eb="1">
      <t>しん</t>
    </rPh>
    <rPh sb="1" eb="3">
      <t>こじん</t>
    </rPh>
    <phoneticPr fontId="2" type="noConversion"/>
  </si>
  <si>
    <t>介護</t>
    <rPh sb="0" eb="2">
      <t>かいご</t>
    </rPh>
    <phoneticPr fontId="2" type="noConversion"/>
  </si>
  <si>
    <t>総合譲渡・一時</t>
    <phoneticPr fontId="2" type="noConversion"/>
  </si>
  <si>
    <t>公的年金等</t>
    <rPh sb="0" eb="2">
      <t>こうてき</t>
    </rPh>
    <rPh sb="2" eb="4">
      <t>ねんきん</t>
    </rPh>
    <rPh sb="4" eb="5">
      <t>とう</t>
    </rPh>
    <phoneticPr fontId="2" type="noConversion"/>
  </si>
  <si>
    <t>業務</t>
    <rPh sb="0" eb="2">
      <t>ぎょうむ</t>
    </rPh>
    <phoneticPr fontId="2" type="noConversion"/>
  </si>
  <si>
    <t>その他</t>
    <rPh sb="2" eb="3">
      <t>ﾀ</t>
    </rPh>
    <phoneticPr fontId="2" type="noConversion"/>
  </si>
  <si>
    <t>合計</t>
    <rPh sb="0" eb="2">
      <t>ごうけい</t>
    </rPh>
    <phoneticPr fontId="2" type="noConversion"/>
  </si>
  <si>
    <t>⑧</t>
    <phoneticPr fontId="2" type="noConversion"/>
  </si>
  <si>
    <t>⑨</t>
    <phoneticPr fontId="2" type="noConversion"/>
  </si>
  <si>
    <t>⑩</t>
    <phoneticPr fontId="2" type="noConversion"/>
  </si>
  <si>
    <t>65以上</t>
    <rPh sb="2" eb="4">
      <t>いじょう</t>
    </rPh>
    <phoneticPr fontId="2" type="noConversion"/>
  </si>
  <si>
    <t>65未満</t>
    <rPh sb="2" eb="4">
      <t>みまん</t>
    </rPh>
    <phoneticPr fontId="2" type="noConversion"/>
  </si>
  <si>
    <t>調整控除前</t>
    <rPh sb="0" eb="2">
      <t>ちょうせい</t>
    </rPh>
    <rPh sb="2" eb="4">
      <t>こうじょ</t>
    </rPh>
    <rPh sb="4" eb="5">
      <t>まえ</t>
    </rPh>
    <phoneticPr fontId="2" type="noConversion"/>
  </si>
  <si>
    <t>売
上
原
価</t>
    <phoneticPr fontId="2" type="noConversion"/>
  </si>
  <si>
    <t>必
要
経
費</t>
    <phoneticPr fontId="2" type="noConversion"/>
  </si>
  <si>
    <t>フリガナ</t>
    <phoneticPr fontId="2" type="noConversion"/>
  </si>
  <si>
    <t>個人番号</t>
    <phoneticPr fontId="2" type="noConversion"/>
  </si>
  <si>
    <t>個人番号</t>
    <phoneticPr fontId="2" type="noConversion"/>
  </si>
  <si>
    <t>氏名</t>
    <rPh sb="0" eb="2">
      <t>シメイ</t>
    </rPh>
    <phoneticPr fontId="37"/>
  </si>
  <si>
    <t>フリガナ</t>
    <phoneticPr fontId="37"/>
  </si>
  <si>
    <t>生年月日</t>
    <phoneticPr fontId="37"/>
  </si>
  <si>
    <t>合計所得金額</t>
    <rPh sb="0" eb="2">
      <t>ゴウケイ</t>
    </rPh>
    <rPh sb="2" eb="4">
      <t>ショトク</t>
    </rPh>
    <rPh sb="4" eb="6">
      <t>キンガク</t>
    </rPh>
    <phoneticPr fontId="37"/>
  </si>
  <si>
    <t>個人番号</t>
    <rPh sb="0" eb="2">
      <t>コジン</t>
    </rPh>
    <rPh sb="2" eb="4">
      <t>バンゴウ</t>
    </rPh>
    <phoneticPr fontId="37"/>
  </si>
  <si>
    <t>社会保険料控除</t>
    <rPh sb="0" eb="2">
      <t>シャカイ</t>
    </rPh>
    <rPh sb="2" eb="5">
      <t>ホケンリョウ</t>
    </rPh>
    <rPh sb="5" eb="7">
      <t>コウジョ</t>
    </rPh>
    <phoneticPr fontId="37"/>
  </si>
  <si>
    <t>種類</t>
    <rPh sb="0" eb="2">
      <t>シュルイ</t>
    </rPh>
    <phoneticPr fontId="37"/>
  </si>
  <si>
    <t>給与源泉徴収票より</t>
    <rPh sb="0" eb="2">
      <t>キュウヨ</t>
    </rPh>
    <rPh sb="2" eb="4">
      <t>ゲンセン</t>
    </rPh>
    <rPh sb="4" eb="7">
      <t>チョウシュウヒョウ</t>
    </rPh>
    <phoneticPr fontId="37"/>
  </si>
  <si>
    <t>年金源泉徴収票より</t>
    <rPh sb="0" eb="2">
      <t>ネンキン</t>
    </rPh>
    <rPh sb="2" eb="4">
      <t>ゲンセン</t>
    </rPh>
    <rPh sb="4" eb="7">
      <t>チョウシュウヒョウ</t>
    </rPh>
    <phoneticPr fontId="37"/>
  </si>
  <si>
    <t>合計</t>
    <rPh sb="0" eb="2">
      <t>ゴウケイ</t>
    </rPh>
    <phoneticPr fontId="37"/>
  </si>
  <si>
    <t>小規模企業共済等掛金</t>
    <rPh sb="0" eb="3">
      <t>ショウキボ</t>
    </rPh>
    <rPh sb="3" eb="5">
      <t>キギョウ</t>
    </rPh>
    <rPh sb="5" eb="7">
      <t>キョウサイ</t>
    </rPh>
    <rPh sb="7" eb="8">
      <t>トウ</t>
    </rPh>
    <rPh sb="8" eb="10">
      <t>カケキン</t>
    </rPh>
    <phoneticPr fontId="37"/>
  </si>
  <si>
    <t>円</t>
    <rPh sb="0" eb="1">
      <t>エン</t>
    </rPh>
    <phoneticPr fontId="37"/>
  </si>
  <si>
    <t>生命保険料控除</t>
    <rPh sb="0" eb="2">
      <t>セイメイ</t>
    </rPh>
    <rPh sb="2" eb="5">
      <t>ホケンリョウ</t>
    </rPh>
    <rPh sb="5" eb="7">
      <t>コウジョ</t>
    </rPh>
    <phoneticPr fontId="37"/>
  </si>
  <si>
    <t>介護保険料</t>
    <rPh sb="0" eb="2">
      <t>カイゴ</t>
    </rPh>
    <rPh sb="2" eb="5">
      <t>ホケンリョウ</t>
    </rPh>
    <phoneticPr fontId="37"/>
  </si>
  <si>
    <t>地震保険料控除</t>
    <rPh sb="0" eb="2">
      <t>ジシン</t>
    </rPh>
    <rPh sb="2" eb="5">
      <t>ホケンリョウ</t>
    </rPh>
    <rPh sb="5" eb="7">
      <t>コウジョ</t>
    </rPh>
    <phoneticPr fontId="37"/>
  </si>
  <si>
    <t>地震保険料の計</t>
    <phoneticPr fontId="37"/>
  </si>
  <si>
    <t>旧長期損害保険料の計</t>
    <phoneticPr fontId="37"/>
  </si>
  <si>
    <t>旧長期損害保険料の計</t>
    <phoneticPr fontId="37"/>
  </si>
  <si>
    <t>学校名</t>
    <rPh sb="0" eb="3">
      <t>ガッコウメイ</t>
    </rPh>
    <phoneticPr fontId="37"/>
  </si>
  <si>
    <t>収入金額</t>
    <rPh sb="0" eb="2">
      <t>シュウニュウ</t>
    </rPh>
    <rPh sb="2" eb="4">
      <t>キンガク</t>
    </rPh>
    <phoneticPr fontId="37"/>
  </si>
  <si>
    <t>所得金額</t>
    <rPh sb="0" eb="2">
      <t>ショトク</t>
    </rPh>
    <rPh sb="2" eb="4">
      <t>キンガク</t>
    </rPh>
    <phoneticPr fontId="37"/>
  </si>
  <si>
    <t>配当収入</t>
    <rPh sb="0" eb="2">
      <t>ハイトウ</t>
    </rPh>
    <rPh sb="2" eb="4">
      <t>シュウニュウ</t>
    </rPh>
    <phoneticPr fontId="37"/>
  </si>
  <si>
    <t>一時所得がある人は、一時にかかる収入金額及び所得金額を入力してください。</t>
    <rPh sb="0" eb="2">
      <t>イチジ</t>
    </rPh>
    <rPh sb="2" eb="4">
      <t>ショトク</t>
    </rPh>
    <rPh sb="7" eb="8">
      <t>ヒト</t>
    </rPh>
    <rPh sb="10" eb="12">
      <t>イチジ</t>
    </rPh>
    <rPh sb="16" eb="18">
      <t>シュウニュウ</t>
    </rPh>
    <rPh sb="18" eb="20">
      <t>キンガク</t>
    </rPh>
    <rPh sb="20" eb="21">
      <t>オヨ</t>
    </rPh>
    <rPh sb="22" eb="24">
      <t>ショトク</t>
    </rPh>
    <rPh sb="24" eb="26">
      <t>キンガク</t>
    </rPh>
    <rPh sb="27" eb="29">
      <t>ニュウリョク</t>
    </rPh>
    <phoneticPr fontId="37"/>
  </si>
  <si>
    <t>平日の日中に連絡の取れやすい電話番号を入力してください。</t>
    <rPh sb="0" eb="2">
      <t>ヘイジツ</t>
    </rPh>
    <rPh sb="3" eb="5">
      <t>ニッチュウ</t>
    </rPh>
    <rPh sb="6" eb="8">
      <t>レンラク</t>
    </rPh>
    <rPh sb="9" eb="10">
      <t>ト</t>
    </rPh>
    <rPh sb="14" eb="16">
      <t>デンワ</t>
    </rPh>
    <rPh sb="16" eb="18">
      <t>バンゴウ</t>
    </rPh>
    <rPh sb="19" eb="21">
      <t>ニュウリョク</t>
    </rPh>
    <phoneticPr fontId="37"/>
  </si>
  <si>
    <t>屋号・雅号</t>
    <phoneticPr fontId="2" type="noConversion"/>
  </si>
  <si>
    <t>元号または西暦</t>
    <rPh sb="0" eb="2">
      <t>ゲンゴウ</t>
    </rPh>
    <rPh sb="5" eb="7">
      <t>セイレキ</t>
    </rPh>
    <phoneticPr fontId="37"/>
  </si>
  <si>
    <t>１．</t>
    <phoneticPr fontId="37"/>
  </si>
  <si>
    <t>2．</t>
    <phoneticPr fontId="37"/>
  </si>
  <si>
    <t>4．</t>
    <phoneticPr fontId="37"/>
  </si>
  <si>
    <t>円</t>
    <rPh sb="0" eb="1">
      <t>エン</t>
    </rPh>
    <phoneticPr fontId="37"/>
  </si>
  <si>
    <t>２．</t>
    <phoneticPr fontId="37"/>
  </si>
  <si>
    <t>金額</t>
    <rPh sb="0" eb="2">
      <t>キンガク</t>
    </rPh>
    <phoneticPr fontId="37"/>
  </si>
  <si>
    <t>３．</t>
    <phoneticPr fontId="37"/>
  </si>
  <si>
    <t>新制度</t>
    <rPh sb="0" eb="3">
      <t>シンセイド</t>
    </rPh>
    <phoneticPr fontId="37"/>
  </si>
  <si>
    <t>旧制度</t>
    <rPh sb="0" eb="3">
      <t>キュウセイド</t>
    </rPh>
    <phoneticPr fontId="37"/>
  </si>
  <si>
    <t>生命保険料</t>
    <rPh sb="0" eb="2">
      <t>セイメイ</t>
    </rPh>
    <rPh sb="2" eb="4">
      <t>ホケン</t>
    </rPh>
    <rPh sb="4" eb="5">
      <t>リョウ</t>
    </rPh>
    <phoneticPr fontId="37"/>
  </si>
  <si>
    <t>個人年金保険料</t>
    <rPh sb="0" eb="2">
      <t>コジン</t>
    </rPh>
    <rPh sb="2" eb="4">
      <t>ネンキン</t>
    </rPh>
    <rPh sb="4" eb="7">
      <t>ホケンリョウ</t>
    </rPh>
    <phoneticPr fontId="37"/>
  </si>
  <si>
    <t>４．</t>
    <phoneticPr fontId="37"/>
  </si>
  <si>
    <t>地震保険料</t>
    <rPh sb="0" eb="2">
      <t>ジシン</t>
    </rPh>
    <rPh sb="2" eb="5">
      <t>ホケンリョウ</t>
    </rPh>
    <phoneticPr fontId="37"/>
  </si>
  <si>
    <t>配偶者控除・配偶者特別控除</t>
    <rPh sb="0" eb="3">
      <t>ハイグウシャ</t>
    </rPh>
    <rPh sb="3" eb="5">
      <t>コウジョ</t>
    </rPh>
    <rPh sb="6" eb="9">
      <t>ハイグウシャ</t>
    </rPh>
    <rPh sb="9" eb="11">
      <t>トクベツ</t>
    </rPh>
    <rPh sb="11" eb="13">
      <t>コウジョ</t>
    </rPh>
    <phoneticPr fontId="37"/>
  </si>
  <si>
    <t>配偶者控除または配偶者特別控除対象とする配偶者</t>
    <rPh sb="0" eb="3">
      <t>ハイグウシャ</t>
    </rPh>
    <rPh sb="3" eb="5">
      <t>コウジョ</t>
    </rPh>
    <rPh sb="8" eb="11">
      <t>ハイグウシャ</t>
    </rPh>
    <rPh sb="11" eb="13">
      <t>トクベツ</t>
    </rPh>
    <rPh sb="13" eb="15">
      <t>コウジョ</t>
    </rPh>
    <rPh sb="15" eb="17">
      <t>タイショウ</t>
    </rPh>
    <rPh sb="20" eb="23">
      <t>ハイグウシャ</t>
    </rPh>
    <phoneticPr fontId="37"/>
  </si>
  <si>
    <t>扶養控除</t>
    <rPh sb="0" eb="2">
      <t>フヨウ</t>
    </rPh>
    <rPh sb="2" eb="4">
      <t>コウジョ</t>
    </rPh>
    <phoneticPr fontId="37"/>
  </si>
  <si>
    <t>３．</t>
    <phoneticPr fontId="37"/>
  </si>
  <si>
    <t>１６歳未満の扶養親族</t>
    <rPh sb="2" eb="3">
      <t>サイ</t>
    </rPh>
    <rPh sb="3" eb="5">
      <t>ミマン</t>
    </rPh>
    <rPh sb="6" eb="8">
      <t>フヨウ</t>
    </rPh>
    <rPh sb="8" eb="10">
      <t>シンゾク</t>
    </rPh>
    <phoneticPr fontId="37"/>
  </si>
  <si>
    <t>続柄</t>
    <rPh sb="0" eb="2">
      <t>ツヅキガラ</t>
    </rPh>
    <phoneticPr fontId="37"/>
  </si>
  <si>
    <t>障害者控除</t>
    <rPh sb="0" eb="3">
      <t>ショウガイシャ</t>
    </rPh>
    <rPh sb="3" eb="5">
      <t>コウジョ</t>
    </rPh>
    <phoneticPr fontId="37"/>
  </si>
  <si>
    <t>1．</t>
    <phoneticPr fontId="37"/>
  </si>
  <si>
    <t>障害者もしくは特別障害者に該当する方の情報を入力してください。（1人目）</t>
    <rPh sb="0" eb="2">
      <t>ショウガイ</t>
    </rPh>
    <rPh sb="2" eb="3">
      <t>シャ</t>
    </rPh>
    <rPh sb="7" eb="9">
      <t>トクベツ</t>
    </rPh>
    <rPh sb="9" eb="12">
      <t>ショウガイシャ</t>
    </rPh>
    <rPh sb="13" eb="15">
      <t>ガイトウ</t>
    </rPh>
    <rPh sb="17" eb="18">
      <t>カタ</t>
    </rPh>
    <rPh sb="19" eb="21">
      <t>ジョウホウ</t>
    </rPh>
    <rPh sb="22" eb="24">
      <t>ニュウリョク</t>
    </rPh>
    <rPh sb="32" eb="34">
      <t>ヒトリ</t>
    </rPh>
    <rPh sb="34" eb="35">
      <t>メ</t>
    </rPh>
    <phoneticPr fontId="37"/>
  </si>
  <si>
    <t>障害者もしくは特別障害者に該当する方の情報を入力してください。（2人目）</t>
    <rPh sb="0" eb="2">
      <t>ショウガイ</t>
    </rPh>
    <rPh sb="2" eb="3">
      <t>シャ</t>
    </rPh>
    <rPh sb="7" eb="9">
      <t>トクベツ</t>
    </rPh>
    <rPh sb="9" eb="12">
      <t>ショウガイシャ</t>
    </rPh>
    <rPh sb="13" eb="15">
      <t>ガイトウ</t>
    </rPh>
    <rPh sb="17" eb="18">
      <t>カタ</t>
    </rPh>
    <rPh sb="19" eb="21">
      <t>ジョウホウ</t>
    </rPh>
    <rPh sb="22" eb="24">
      <t>ニュウリョク</t>
    </rPh>
    <rPh sb="32" eb="34">
      <t>フタリ</t>
    </rPh>
    <rPh sb="34" eb="35">
      <t>メ</t>
    </rPh>
    <phoneticPr fontId="37"/>
  </si>
  <si>
    <t>1-1．</t>
    <phoneticPr fontId="37"/>
  </si>
  <si>
    <t>1-2．</t>
    <phoneticPr fontId="37"/>
  </si>
  <si>
    <t>3-1.</t>
    <phoneticPr fontId="37"/>
  </si>
  <si>
    <t>2-1.</t>
    <phoneticPr fontId="37"/>
  </si>
  <si>
    <t>2-2.</t>
    <phoneticPr fontId="37"/>
  </si>
  <si>
    <t>2-3.</t>
    <phoneticPr fontId="37"/>
  </si>
  <si>
    <t>2-4.</t>
    <phoneticPr fontId="37"/>
  </si>
  <si>
    <t>3-2.</t>
    <phoneticPr fontId="37"/>
  </si>
  <si>
    <t>3-3.</t>
    <phoneticPr fontId="37"/>
  </si>
  <si>
    <t>控除の区分</t>
    <rPh sb="0" eb="2">
      <t>コウジョ</t>
    </rPh>
    <rPh sb="3" eb="5">
      <t>クブン</t>
    </rPh>
    <phoneticPr fontId="37"/>
  </si>
  <si>
    <t>寡婦・ひとり親控除</t>
    <rPh sb="0" eb="2">
      <t>カフ</t>
    </rPh>
    <rPh sb="6" eb="7">
      <t>オヤ</t>
    </rPh>
    <rPh sb="7" eb="9">
      <t>コウジョ</t>
    </rPh>
    <phoneticPr fontId="37"/>
  </si>
  <si>
    <t>婚姻歴の有無や性別にかかわらず、現に婚姻していない人または配偶者の生死の明らかでない人のうち、次に掲げる要件をすべて満たす人。</t>
  </si>
  <si>
    <t>（イ）本人が住民票に世帯主と記載されていない場合に、本人の住民票に世帯主との続柄が世帯主の未届の夫または未届の妻である旨や、世帯主と事実上婚姻関係と同様の事情にあると認められる続柄である旨の記載がされているときのその世帯主</t>
  </si>
  <si>
    <t>（ア）本人が住民票に世帯主と記載されている場合に、同一世帯内に世帯主との続柄が未届の夫または未届の妻である旨や、世帯主と事実上婚姻関係と同様の事情にあると認められる続柄である旨の記載がされた者</t>
  </si>
  <si>
    <t>（２）夫と死別（生死不明含む）後、婚姻しておらず、扶養親族がいない人。</t>
  </si>
  <si>
    <t>（３）夫と離婚した後、婚姻しておらず、扶養親族がいる人。</t>
  </si>
  <si>
    <t>（2）本人の合計所得金額が500万円以下</t>
  </si>
  <si>
    <t>（3）本人と事実上婚姻関係と同様の事情にあると認められる次の（ア）（イ）に掲げる者がいないこと</t>
  </si>
  <si>
    <t>２．</t>
    <phoneticPr fontId="37"/>
  </si>
  <si>
    <t>１．</t>
    <phoneticPr fontId="37"/>
  </si>
  <si>
    <t>勤労学生控除</t>
    <rPh sb="0" eb="2">
      <t>キンロウ</t>
    </rPh>
    <rPh sb="2" eb="4">
      <t>ガクセイ</t>
    </rPh>
    <rPh sb="4" eb="6">
      <t>コウジョ</t>
    </rPh>
    <phoneticPr fontId="37"/>
  </si>
  <si>
    <t>寡婦理由を選択してください</t>
  </si>
  <si>
    <t>（１）夫と死別（生死不明含む）後、婚姻しておらず、扶養親族がいる人。</t>
    <phoneticPr fontId="37"/>
  </si>
  <si>
    <t>学校名を入力してください</t>
    <rPh sb="0" eb="3">
      <t>ガッコウメイ</t>
    </rPh>
    <rPh sb="4" eb="6">
      <t>ニュウリョク</t>
    </rPh>
    <phoneticPr fontId="37"/>
  </si>
  <si>
    <t>添付書類</t>
    <rPh sb="0" eb="2">
      <t>テンプ</t>
    </rPh>
    <rPh sb="2" eb="4">
      <t>ショルイ</t>
    </rPh>
    <phoneticPr fontId="37"/>
  </si>
  <si>
    <t>カナ</t>
    <phoneticPr fontId="37"/>
  </si>
  <si>
    <t>氏名</t>
    <rPh sb="0" eb="2">
      <t>シメイ</t>
    </rPh>
    <phoneticPr fontId="37"/>
  </si>
  <si>
    <t>個人番号</t>
    <rPh sb="0" eb="2">
      <t>コジン</t>
    </rPh>
    <rPh sb="2" eb="4">
      <t>バンゴウ</t>
    </rPh>
    <phoneticPr fontId="37"/>
  </si>
  <si>
    <t>生年月日</t>
    <rPh sb="0" eb="2">
      <t>セイネン</t>
    </rPh>
    <rPh sb="2" eb="4">
      <t>ガッピ</t>
    </rPh>
    <phoneticPr fontId="37"/>
  </si>
  <si>
    <t>続柄</t>
    <rPh sb="0" eb="2">
      <t>ツヅキガラ</t>
    </rPh>
    <phoneticPr fontId="37"/>
  </si>
  <si>
    <t>住所</t>
    <rPh sb="0" eb="2">
      <t>ジュウショ</t>
    </rPh>
    <phoneticPr fontId="37"/>
  </si>
  <si>
    <t>ロ</t>
    <phoneticPr fontId="2" type="noConversion"/>
  </si>
  <si>
    <t>一　時</t>
    <phoneticPr fontId="2" type="noConversion"/>
  </si>
  <si>
    <t>差引金額</t>
    <phoneticPr fontId="2" type="noConversion"/>
  </si>
  <si>
    <t>別居の場合の住所</t>
    <rPh sb="0" eb="2">
      <t>ベッキョ</t>
    </rPh>
    <rPh sb="3" eb="5">
      <t>バアイ</t>
    </rPh>
    <rPh sb="6" eb="8">
      <t>ジュウショ</t>
    </rPh>
    <phoneticPr fontId="37"/>
  </si>
  <si>
    <t>住所</t>
    <phoneticPr fontId="37"/>
  </si>
  <si>
    <t>その方の住所</t>
    <rPh sb="2" eb="3">
      <t>カタ</t>
    </rPh>
    <rPh sb="4" eb="6">
      <t>ジュウショ</t>
    </rPh>
    <phoneticPr fontId="37"/>
  </si>
  <si>
    <t>その方の氏名</t>
    <rPh sb="2" eb="3">
      <t>カタ</t>
    </rPh>
    <rPh sb="4" eb="6">
      <t>シメイ</t>
    </rPh>
    <phoneticPr fontId="37"/>
  </si>
  <si>
    <t>その方との続柄</t>
    <rPh sb="2" eb="3">
      <t>カタ</t>
    </rPh>
    <rPh sb="5" eb="7">
      <t>ツヅキガラ</t>
    </rPh>
    <phoneticPr fontId="37"/>
  </si>
  <si>
    <t>学年</t>
    <rPh sb="0" eb="2">
      <t>ガクネン</t>
    </rPh>
    <phoneticPr fontId="37"/>
  </si>
  <si>
    <t>遺族年金</t>
    <rPh sb="0" eb="2">
      <t>イゾク</t>
    </rPh>
    <rPh sb="2" eb="4">
      <t>ネンキン</t>
    </rPh>
    <phoneticPr fontId="37"/>
  </si>
  <si>
    <t>障害年金</t>
    <rPh sb="0" eb="2">
      <t>ショウガイ</t>
    </rPh>
    <rPh sb="2" eb="4">
      <t>ネンキン</t>
    </rPh>
    <phoneticPr fontId="37"/>
  </si>
  <si>
    <t>失業保険</t>
    <rPh sb="0" eb="2">
      <t>シツギョウ</t>
    </rPh>
    <rPh sb="2" eb="4">
      <t>ホケン</t>
    </rPh>
    <phoneticPr fontId="37"/>
  </si>
  <si>
    <t>生活保護</t>
    <rPh sb="0" eb="2">
      <t>セイカツ</t>
    </rPh>
    <rPh sb="2" eb="4">
      <t>ホゴ</t>
    </rPh>
    <phoneticPr fontId="37"/>
  </si>
  <si>
    <t>その他</t>
    <rPh sb="2" eb="3">
      <t>タ</t>
    </rPh>
    <phoneticPr fontId="37"/>
  </si>
  <si>
    <t>（</t>
    <phoneticPr fontId="37"/>
  </si>
  <si>
    <t>）</t>
    <phoneticPr fontId="37"/>
  </si>
  <si>
    <t>預貯金</t>
    <rPh sb="0" eb="3">
      <t>ヨチョキン</t>
    </rPh>
    <phoneticPr fontId="37"/>
  </si>
  <si>
    <t>受給期間</t>
    <rPh sb="0" eb="2">
      <t>ジュキュウ</t>
    </rPh>
    <rPh sb="2" eb="4">
      <t>キカン</t>
    </rPh>
    <phoneticPr fontId="37"/>
  </si>
  <si>
    <t>～</t>
    <phoneticPr fontId="37"/>
  </si>
  <si>
    <t>（課税対象の）収入がなかった方</t>
    <rPh sb="1" eb="3">
      <t>カゼイ</t>
    </rPh>
    <rPh sb="3" eb="5">
      <t>タイショウ</t>
    </rPh>
    <rPh sb="7" eb="9">
      <t>シュウニュウ</t>
    </rPh>
    <rPh sb="14" eb="15">
      <t>カタ</t>
    </rPh>
    <phoneticPr fontId="37"/>
  </si>
  <si>
    <t xml:space="preserve">～ </t>
    <phoneticPr fontId="37"/>
  </si>
  <si>
    <t>預貯金</t>
    <rPh sb="0" eb="3">
      <t>ヨチョキン</t>
    </rPh>
    <phoneticPr fontId="37"/>
  </si>
  <si>
    <t>遺族年金</t>
    <rPh sb="0" eb="2">
      <t>イゾク</t>
    </rPh>
    <rPh sb="2" eb="4">
      <t>ネンキン</t>
    </rPh>
    <phoneticPr fontId="37"/>
  </si>
  <si>
    <t>障害年金</t>
    <rPh sb="0" eb="2">
      <t>ショウガイ</t>
    </rPh>
    <rPh sb="2" eb="4">
      <t>ネンキン</t>
    </rPh>
    <phoneticPr fontId="37"/>
  </si>
  <si>
    <t>失業保険</t>
    <rPh sb="0" eb="2">
      <t>シツギョウ</t>
    </rPh>
    <rPh sb="2" eb="4">
      <t>ホケン</t>
    </rPh>
    <phoneticPr fontId="37"/>
  </si>
  <si>
    <t>生活保護</t>
    <rPh sb="0" eb="2">
      <t>セイカツ</t>
    </rPh>
    <rPh sb="2" eb="4">
      <t>ホゴ</t>
    </rPh>
    <phoneticPr fontId="37"/>
  </si>
  <si>
    <t>（</t>
    <phoneticPr fontId="37"/>
  </si>
  <si>
    <t>）</t>
    <phoneticPr fontId="37"/>
  </si>
  <si>
    <t>５．</t>
    <phoneticPr fontId="37"/>
  </si>
  <si>
    <t>６．</t>
    <phoneticPr fontId="37"/>
  </si>
  <si>
    <t>経費合計</t>
    <rPh sb="0" eb="2">
      <t>ケイヒ</t>
    </rPh>
    <rPh sb="2" eb="4">
      <t>ゴウケイ</t>
    </rPh>
    <phoneticPr fontId="37"/>
  </si>
  <si>
    <t>円</t>
    <rPh sb="0" eb="1">
      <t>エン</t>
    </rPh>
    <phoneticPr fontId="37"/>
  </si>
  <si>
    <t>経費金額</t>
    <rPh sb="0" eb="2">
      <t>ケイヒ</t>
    </rPh>
    <rPh sb="2" eb="4">
      <t>キンガク</t>
    </rPh>
    <phoneticPr fontId="37"/>
  </si>
  <si>
    <t>種類</t>
    <rPh sb="0" eb="2">
      <t>シュルイ</t>
    </rPh>
    <phoneticPr fontId="37"/>
  </si>
  <si>
    <t>所得の生ずる場所</t>
    <rPh sb="0" eb="2">
      <t>ショトク</t>
    </rPh>
    <rPh sb="3" eb="4">
      <t>ショウ</t>
    </rPh>
    <rPh sb="6" eb="8">
      <t>バショ</t>
    </rPh>
    <phoneticPr fontId="37"/>
  </si>
  <si>
    <t>雑収入</t>
    <rPh sb="0" eb="1">
      <t>ザツ</t>
    </rPh>
    <rPh sb="1" eb="3">
      <t>シュウニュウ</t>
    </rPh>
    <phoneticPr fontId="37"/>
  </si>
  <si>
    <t>収入</t>
    <rPh sb="0" eb="2">
      <t>シュウニュウ</t>
    </rPh>
    <phoneticPr fontId="37"/>
  </si>
  <si>
    <t>所得</t>
    <rPh sb="0" eb="2">
      <t>ショトク</t>
    </rPh>
    <phoneticPr fontId="37"/>
  </si>
  <si>
    <t>収入業務</t>
    <rPh sb="0" eb="2">
      <t>シュウニュウ</t>
    </rPh>
    <rPh sb="2" eb="4">
      <t>ギョウム</t>
    </rPh>
    <phoneticPr fontId="37"/>
  </si>
  <si>
    <t>所得業務</t>
    <rPh sb="0" eb="2">
      <t>ショトク</t>
    </rPh>
    <rPh sb="2" eb="4">
      <t>ギョウム</t>
    </rPh>
    <phoneticPr fontId="37"/>
  </si>
  <si>
    <t>収入その他</t>
    <rPh sb="0" eb="2">
      <t>シュウニュウ</t>
    </rPh>
    <rPh sb="4" eb="5">
      <t>タ</t>
    </rPh>
    <phoneticPr fontId="37"/>
  </si>
  <si>
    <t>所得その他</t>
    <rPh sb="0" eb="2">
      <t>ショトク</t>
    </rPh>
    <rPh sb="4" eb="5">
      <t>タ</t>
    </rPh>
    <phoneticPr fontId="37"/>
  </si>
  <si>
    <t>業務</t>
    <rPh sb="0" eb="2">
      <t>ギョウム</t>
    </rPh>
    <phoneticPr fontId="37"/>
  </si>
  <si>
    <t>上記の入力が終わりましたら、</t>
    <rPh sb="0" eb="2">
      <t>ジョウキ</t>
    </rPh>
    <rPh sb="3" eb="5">
      <t>ニュウリョク</t>
    </rPh>
    <rPh sb="6" eb="7">
      <t>オ</t>
    </rPh>
    <phoneticPr fontId="37"/>
  </si>
  <si>
    <t>→</t>
    <phoneticPr fontId="37"/>
  </si>
  <si>
    <t>→</t>
    <phoneticPr fontId="37"/>
  </si>
  <si>
    <t>給与収入、公的年金収入以外の収入はありますか？</t>
    <rPh sb="0" eb="2">
      <t>キュウヨ</t>
    </rPh>
    <rPh sb="2" eb="4">
      <t>シュウニュウ</t>
    </rPh>
    <rPh sb="5" eb="7">
      <t>コウテキ</t>
    </rPh>
    <rPh sb="7" eb="9">
      <t>ネンキン</t>
    </rPh>
    <rPh sb="9" eb="11">
      <t>シュウニュウ</t>
    </rPh>
    <rPh sb="11" eb="13">
      <t>イガイ</t>
    </rPh>
    <rPh sb="14" eb="16">
      <t>シュウニュウ</t>
    </rPh>
    <phoneticPr fontId="37"/>
  </si>
  <si>
    <t>ない方はこちらをクリック。控除の入力に進みます。</t>
    <rPh sb="2" eb="3">
      <t>カタ</t>
    </rPh>
    <rPh sb="13" eb="15">
      <t>コウジョ</t>
    </rPh>
    <rPh sb="16" eb="18">
      <t>ニュウリョク</t>
    </rPh>
    <rPh sb="19" eb="20">
      <t>スス</t>
    </rPh>
    <phoneticPr fontId="37"/>
  </si>
  <si>
    <t>総合譲渡短期・長期所得もしくは一時所得はありますか？</t>
    <rPh sb="0" eb="2">
      <t>ソウゴウ</t>
    </rPh>
    <rPh sb="2" eb="4">
      <t>ジョウト</t>
    </rPh>
    <rPh sb="4" eb="6">
      <t>タンキ</t>
    </rPh>
    <rPh sb="7" eb="9">
      <t>チョウキ</t>
    </rPh>
    <rPh sb="9" eb="11">
      <t>ショトク</t>
    </rPh>
    <rPh sb="15" eb="17">
      <t>イチジ</t>
    </rPh>
    <rPh sb="17" eb="19">
      <t>ショトク</t>
    </rPh>
    <phoneticPr fontId="37"/>
  </si>
  <si>
    <t>→</t>
    <phoneticPr fontId="37"/>
  </si>
  <si>
    <t>→</t>
    <phoneticPr fontId="37"/>
  </si>
  <si>
    <t>以上で入力は終わりです。</t>
    <rPh sb="0" eb="2">
      <t>イジョウ</t>
    </rPh>
    <rPh sb="3" eb="5">
      <t>ニュウリョク</t>
    </rPh>
    <rPh sb="6" eb="7">
      <t>オ</t>
    </rPh>
    <phoneticPr fontId="37"/>
  </si>
  <si>
    <t>所得の入力は完了しましたか？</t>
    <rPh sb="0" eb="2">
      <t>ショトク</t>
    </rPh>
    <rPh sb="3" eb="5">
      <t>ニュウリョク</t>
    </rPh>
    <rPh sb="6" eb="8">
      <t>カンリョウ</t>
    </rPh>
    <phoneticPr fontId="37"/>
  </si>
  <si>
    <t>所得の入力が完了した方はこちら。控除の入力に進みます。</t>
    <rPh sb="0" eb="2">
      <t>ショトク</t>
    </rPh>
    <rPh sb="3" eb="5">
      <t>ニュウリョク</t>
    </rPh>
    <rPh sb="6" eb="8">
      <t>カンリョウ</t>
    </rPh>
    <rPh sb="10" eb="11">
      <t>カタ</t>
    </rPh>
    <rPh sb="16" eb="18">
      <t>コウジョ</t>
    </rPh>
    <rPh sb="19" eb="21">
      <t>ニュウリョク</t>
    </rPh>
    <rPh sb="22" eb="23">
      <t>スス</t>
    </rPh>
    <phoneticPr fontId="37"/>
  </si>
  <si>
    <t>←</t>
    <phoneticPr fontId="37"/>
  </si>
  <si>
    <t>給与・公的年金収入を入力する方はこちら</t>
    <rPh sb="0" eb="2">
      <t>キュウヨ</t>
    </rPh>
    <rPh sb="3" eb="5">
      <t>コウテキ</t>
    </rPh>
    <rPh sb="5" eb="7">
      <t>ネンキン</t>
    </rPh>
    <rPh sb="7" eb="9">
      <t>シュウニュウ</t>
    </rPh>
    <rPh sb="10" eb="12">
      <t>ニュウリョク</t>
    </rPh>
    <rPh sb="14" eb="15">
      <t>カタ</t>
    </rPh>
    <phoneticPr fontId="37"/>
  </si>
  <si>
    <t>控除の入力が終了した方はこちら。申告書の印刷に進みます。</t>
    <rPh sb="0" eb="2">
      <t>コウジョ</t>
    </rPh>
    <rPh sb="3" eb="5">
      <t>ニュウリョク</t>
    </rPh>
    <rPh sb="6" eb="8">
      <t>シュウリョウ</t>
    </rPh>
    <rPh sb="10" eb="11">
      <t>カタ</t>
    </rPh>
    <rPh sb="16" eb="19">
      <t>シンコクショ</t>
    </rPh>
    <rPh sb="20" eb="22">
      <t>インサツ</t>
    </rPh>
    <rPh sb="23" eb="24">
      <t>スス</t>
    </rPh>
    <phoneticPr fontId="37"/>
  </si>
  <si>
    <t>８．</t>
    <phoneticPr fontId="37"/>
  </si>
  <si>
    <t>上記の所得について、市民税・県民税の納税方法の希望がございましたら選択してください。</t>
    <rPh sb="0" eb="2">
      <t>ジョウキ</t>
    </rPh>
    <rPh sb="3" eb="5">
      <t>ショトク</t>
    </rPh>
    <rPh sb="10" eb="13">
      <t>シミンゼイ</t>
    </rPh>
    <rPh sb="14" eb="17">
      <t>ケンミンゼイ</t>
    </rPh>
    <rPh sb="18" eb="20">
      <t>ノウゼイ</t>
    </rPh>
    <rPh sb="20" eb="22">
      <t>ホウホウ</t>
    </rPh>
    <rPh sb="23" eb="25">
      <t>キボウ</t>
    </rPh>
    <rPh sb="33" eb="35">
      <t>センタク</t>
    </rPh>
    <phoneticPr fontId="37"/>
  </si>
  <si>
    <t>納税方法</t>
    <rPh sb="0" eb="2">
      <t>ノウゼイ</t>
    </rPh>
    <rPh sb="2" eb="4">
      <t>ホウホウ</t>
    </rPh>
    <phoneticPr fontId="37"/>
  </si>
  <si>
    <t>元号の場合は西暦に変換（西暦の方が計算式で管理しやすい）、西暦入力はそのままとし、yyyymmddで生年月日を表記。これを用いて公的年金所得計算に用いる。</t>
    <rPh sb="0" eb="2">
      <t>ゲンゴウ</t>
    </rPh>
    <rPh sb="3" eb="5">
      <t>バアイ</t>
    </rPh>
    <rPh sb="6" eb="8">
      <t>セイレキ</t>
    </rPh>
    <rPh sb="9" eb="11">
      <t>ヘンカン</t>
    </rPh>
    <rPh sb="12" eb="14">
      <t>セイレキ</t>
    </rPh>
    <rPh sb="15" eb="16">
      <t>ホウ</t>
    </rPh>
    <rPh sb="17" eb="20">
      <t>ケイサンシキ</t>
    </rPh>
    <rPh sb="21" eb="23">
      <t>カンリ</t>
    </rPh>
    <rPh sb="29" eb="31">
      <t>セイレキ</t>
    </rPh>
    <rPh sb="31" eb="33">
      <t>ニュウリョク</t>
    </rPh>
    <rPh sb="50" eb="52">
      <t>セイネン</t>
    </rPh>
    <rPh sb="52" eb="54">
      <t>ガッピ</t>
    </rPh>
    <rPh sb="55" eb="57">
      <t>ヒョウキ</t>
    </rPh>
    <rPh sb="61" eb="62">
      <t>モチ</t>
    </rPh>
    <rPh sb="64" eb="66">
      <t>コウテキ</t>
    </rPh>
    <rPh sb="66" eb="68">
      <t>ネンキン</t>
    </rPh>
    <rPh sb="68" eb="70">
      <t>ショトク</t>
    </rPh>
    <rPh sb="70" eb="72">
      <t>ケイサン</t>
    </rPh>
    <rPh sb="73" eb="74">
      <t>モチ</t>
    </rPh>
    <phoneticPr fontId="37"/>
  </si>
  <si>
    <t>公的年金所得の計算</t>
    <rPh sb="0" eb="2">
      <t>コウテキ</t>
    </rPh>
    <rPh sb="2" eb="4">
      <t>ネンキン</t>
    </rPh>
    <rPh sb="4" eb="6">
      <t>ショトク</t>
    </rPh>
    <rPh sb="7" eb="9">
      <t>ケイサン</t>
    </rPh>
    <phoneticPr fontId="37"/>
  </si>
  <si>
    <t>年齢</t>
    <rPh sb="0" eb="2">
      <t>ネンレイ</t>
    </rPh>
    <phoneticPr fontId="37"/>
  </si>
  <si>
    <t>所得</t>
    <rPh sb="0" eb="2">
      <t>ショトク</t>
    </rPh>
    <phoneticPr fontId="37"/>
  </si>
  <si>
    <t>以降</t>
    <rPh sb="0" eb="2">
      <t>イコウ</t>
    </rPh>
    <phoneticPr fontId="37"/>
  </si>
  <si>
    <t>以前</t>
    <rPh sb="0" eb="2">
      <t>イゼン</t>
    </rPh>
    <phoneticPr fontId="37"/>
  </si>
  <si>
    <t>65歳未満、以上のそれぞれの所得金額を算出し、本人の年齢から最終所得を算出</t>
    <rPh sb="2" eb="5">
      <t>サイミマン</t>
    </rPh>
    <rPh sb="6" eb="8">
      <t>イジョウ</t>
    </rPh>
    <rPh sb="14" eb="16">
      <t>ショトク</t>
    </rPh>
    <rPh sb="16" eb="18">
      <t>キンガク</t>
    </rPh>
    <rPh sb="19" eb="21">
      <t>サンシュツ</t>
    </rPh>
    <rPh sb="23" eb="25">
      <t>ホンニン</t>
    </rPh>
    <rPh sb="26" eb="28">
      <t>ネンレイ</t>
    </rPh>
    <rPh sb="30" eb="32">
      <t>サイシュウ</t>
    </rPh>
    <rPh sb="32" eb="34">
      <t>ショトク</t>
    </rPh>
    <rPh sb="35" eb="37">
      <t>サンシュツ</t>
    </rPh>
    <phoneticPr fontId="37"/>
  </si>
  <si>
    <t>障害者控除</t>
    <rPh sb="0" eb="3">
      <t>ショウガイシャ</t>
    </rPh>
    <rPh sb="3" eb="5">
      <t>コウジョ</t>
    </rPh>
    <phoneticPr fontId="37"/>
  </si>
  <si>
    <t>一人目</t>
    <rPh sb="0" eb="2">
      <t>ヒトリ</t>
    </rPh>
    <rPh sb="2" eb="3">
      <t>メ</t>
    </rPh>
    <phoneticPr fontId="37"/>
  </si>
  <si>
    <t>二人目</t>
    <rPh sb="0" eb="2">
      <t>フタリ</t>
    </rPh>
    <rPh sb="2" eb="3">
      <t>メ</t>
    </rPh>
    <phoneticPr fontId="37"/>
  </si>
  <si>
    <t>障害or特別障害</t>
    <rPh sb="0" eb="2">
      <t>ショウガイ</t>
    </rPh>
    <rPh sb="4" eb="6">
      <t>トクベツ</t>
    </rPh>
    <rPh sb="6" eb="8">
      <t>ショウガイ</t>
    </rPh>
    <phoneticPr fontId="37"/>
  </si>
  <si>
    <t>控除額合計</t>
    <rPh sb="0" eb="2">
      <t>コウジョ</t>
    </rPh>
    <rPh sb="2" eb="3">
      <t>ガク</t>
    </rPh>
    <rPh sb="3" eb="5">
      <t>ゴウケイ</t>
    </rPh>
    <phoneticPr fontId="37"/>
  </si>
  <si>
    <t>給与所得の計算</t>
    <rPh sb="0" eb="2">
      <t>キュウヨ</t>
    </rPh>
    <rPh sb="2" eb="4">
      <t>ショトク</t>
    </rPh>
    <rPh sb="5" eb="7">
      <t>ケイサン</t>
    </rPh>
    <phoneticPr fontId="37"/>
  </si>
  <si>
    <t>障害者控除の計算</t>
    <rPh sb="0" eb="3">
      <t>ショウガイシャ</t>
    </rPh>
    <rPh sb="3" eb="5">
      <t>コウジョ</t>
    </rPh>
    <rPh sb="6" eb="8">
      <t>ケイサン</t>
    </rPh>
    <phoneticPr fontId="37"/>
  </si>
  <si>
    <t>リスト選択された障害者、特別障害者の文字をもとに控除金額表示、また同居と特別障害を選択で23万円を追加表示</t>
    <rPh sb="3" eb="5">
      <t>センタク</t>
    </rPh>
    <rPh sb="8" eb="11">
      <t>ショウガイシャ</t>
    </rPh>
    <rPh sb="12" eb="14">
      <t>トクベツ</t>
    </rPh>
    <rPh sb="14" eb="17">
      <t>ショウガイシャ</t>
    </rPh>
    <rPh sb="18" eb="20">
      <t>モジ</t>
    </rPh>
    <rPh sb="24" eb="26">
      <t>コウジョ</t>
    </rPh>
    <rPh sb="26" eb="28">
      <t>キンガク</t>
    </rPh>
    <rPh sb="28" eb="30">
      <t>ヒョウジ</t>
    </rPh>
    <rPh sb="33" eb="35">
      <t>ドウキョ</t>
    </rPh>
    <rPh sb="36" eb="38">
      <t>トクベツ</t>
    </rPh>
    <rPh sb="38" eb="40">
      <t>ショウガイ</t>
    </rPh>
    <rPh sb="41" eb="43">
      <t>センタク</t>
    </rPh>
    <rPh sb="46" eb="48">
      <t>マンエン</t>
    </rPh>
    <rPh sb="49" eb="51">
      <t>ツイカ</t>
    </rPh>
    <rPh sb="51" eb="53">
      <t>ヒョウジ</t>
    </rPh>
    <phoneticPr fontId="37"/>
  </si>
  <si>
    <t>調整控除前の給与所得を算出式の通りに算出、公的年金所得から「給与+公的年金」の調整控除額を算出、差をとって所得金額</t>
    <rPh sb="0" eb="2">
      <t>チョウセイ</t>
    </rPh>
    <rPh sb="2" eb="4">
      <t>コウジョ</t>
    </rPh>
    <rPh sb="4" eb="5">
      <t>マエ</t>
    </rPh>
    <rPh sb="6" eb="8">
      <t>キュウヨ</t>
    </rPh>
    <rPh sb="8" eb="10">
      <t>ショトク</t>
    </rPh>
    <rPh sb="11" eb="13">
      <t>サンシュツ</t>
    </rPh>
    <rPh sb="13" eb="14">
      <t>シキ</t>
    </rPh>
    <rPh sb="15" eb="16">
      <t>トオ</t>
    </rPh>
    <rPh sb="18" eb="20">
      <t>サンシュツ</t>
    </rPh>
    <rPh sb="21" eb="23">
      <t>コウテキ</t>
    </rPh>
    <rPh sb="23" eb="25">
      <t>ネンキン</t>
    </rPh>
    <rPh sb="25" eb="27">
      <t>ショトク</t>
    </rPh>
    <rPh sb="30" eb="32">
      <t>キュウヨ</t>
    </rPh>
    <rPh sb="33" eb="35">
      <t>コウテキ</t>
    </rPh>
    <rPh sb="35" eb="37">
      <t>ネンキン</t>
    </rPh>
    <rPh sb="39" eb="41">
      <t>チョウセイ</t>
    </rPh>
    <rPh sb="41" eb="43">
      <t>コウジョ</t>
    </rPh>
    <rPh sb="43" eb="44">
      <t>ガク</t>
    </rPh>
    <rPh sb="45" eb="47">
      <t>サンシュツ</t>
    </rPh>
    <rPh sb="48" eb="49">
      <t>サ</t>
    </rPh>
    <rPh sb="53" eb="55">
      <t>ショトク</t>
    </rPh>
    <rPh sb="55" eb="57">
      <t>キンガク</t>
    </rPh>
    <phoneticPr fontId="37"/>
  </si>
  <si>
    <t>配偶者控除・配偶者特別控除の算出</t>
    <rPh sb="0" eb="3">
      <t>ハイグウシャ</t>
    </rPh>
    <rPh sb="3" eb="5">
      <t>コウジョ</t>
    </rPh>
    <rPh sb="6" eb="9">
      <t>ハイグウシャ</t>
    </rPh>
    <rPh sb="9" eb="11">
      <t>トクベツ</t>
    </rPh>
    <rPh sb="11" eb="13">
      <t>コウジョ</t>
    </rPh>
    <rPh sb="14" eb="16">
      <t>サンシュツ</t>
    </rPh>
    <phoneticPr fontId="37"/>
  </si>
  <si>
    <t>配偶者控除額</t>
    <rPh sb="0" eb="3">
      <t>はいぐうしゃ</t>
    </rPh>
    <rPh sb="3" eb="5">
      <t>こうじょ</t>
    </rPh>
    <rPh sb="5" eb="6">
      <t>がく</t>
    </rPh>
    <phoneticPr fontId="2" type="noConversion"/>
  </si>
  <si>
    <t>配偶者生年月日の表示（本人の生年月日の表示と同じ流れ）、年齢から配偶者控除となった場合の金額を表示</t>
    <rPh sb="0" eb="3">
      <t>ハイグウシャ</t>
    </rPh>
    <rPh sb="3" eb="5">
      <t>セイネン</t>
    </rPh>
    <rPh sb="5" eb="7">
      <t>ガッピ</t>
    </rPh>
    <rPh sb="8" eb="10">
      <t>ヒョウジ</t>
    </rPh>
    <rPh sb="11" eb="13">
      <t>ホンニン</t>
    </rPh>
    <rPh sb="14" eb="16">
      <t>セイネン</t>
    </rPh>
    <rPh sb="16" eb="18">
      <t>ガッピ</t>
    </rPh>
    <rPh sb="19" eb="21">
      <t>ヒョウジ</t>
    </rPh>
    <rPh sb="22" eb="23">
      <t>オナ</t>
    </rPh>
    <rPh sb="24" eb="25">
      <t>ナガ</t>
    </rPh>
    <rPh sb="28" eb="30">
      <t>ネンレイ</t>
    </rPh>
    <rPh sb="32" eb="35">
      <t>ハイグウシャ</t>
    </rPh>
    <rPh sb="35" eb="37">
      <t>コウジョ</t>
    </rPh>
    <rPh sb="41" eb="43">
      <t>バアイ</t>
    </rPh>
    <rPh sb="44" eb="46">
      <t>キンガク</t>
    </rPh>
    <rPh sb="47" eb="49">
      <t>ヒョウジ</t>
    </rPh>
    <phoneticPr fontId="37"/>
  </si>
  <si>
    <t>所得要件から配偶者特別控除の場合に、所得に応じて控除額を表示</t>
    <rPh sb="0" eb="2">
      <t>ショトク</t>
    </rPh>
    <rPh sb="2" eb="4">
      <t>ヨウケン</t>
    </rPh>
    <rPh sb="6" eb="9">
      <t>ハイグウシャ</t>
    </rPh>
    <rPh sb="9" eb="11">
      <t>トクベツ</t>
    </rPh>
    <rPh sb="11" eb="13">
      <t>コウジョ</t>
    </rPh>
    <rPh sb="14" eb="16">
      <t>バアイ</t>
    </rPh>
    <rPh sb="18" eb="20">
      <t>ショトク</t>
    </rPh>
    <rPh sb="21" eb="22">
      <t>オウ</t>
    </rPh>
    <rPh sb="24" eb="26">
      <t>コウジョ</t>
    </rPh>
    <rPh sb="26" eb="27">
      <t>ガク</t>
    </rPh>
    <rPh sb="28" eb="30">
      <t>ヒョウジ</t>
    </rPh>
    <phoneticPr fontId="37"/>
  </si>
  <si>
    <t>48超100万円以下</t>
    <rPh sb="2" eb="3">
      <t>チョウ</t>
    </rPh>
    <rPh sb="6" eb="8">
      <t>マンエン</t>
    </rPh>
    <rPh sb="8" eb="10">
      <t>イカ</t>
    </rPh>
    <phoneticPr fontId="37"/>
  </si>
  <si>
    <t>100超105万円以下</t>
    <rPh sb="3" eb="4">
      <t>チョウ</t>
    </rPh>
    <rPh sb="7" eb="9">
      <t>マンエン</t>
    </rPh>
    <rPh sb="9" eb="11">
      <t>イカ</t>
    </rPh>
    <phoneticPr fontId="37"/>
  </si>
  <si>
    <t>105超110万円以下</t>
    <rPh sb="3" eb="4">
      <t>チョウ</t>
    </rPh>
    <rPh sb="7" eb="9">
      <t>マンエン</t>
    </rPh>
    <rPh sb="9" eb="11">
      <t>イカ</t>
    </rPh>
    <phoneticPr fontId="37"/>
  </si>
  <si>
    <t>110超115万円以下</t>
    <rPh sb="3" eb="4">
      <t>チョウ</t>
    </rPh>
    <rPh sb="7" eb="9">
      <t>マンエン</t>
    </rPh>
    <rPh sb="9" eb="11">
      <t>イカ</t>
    </rPh>
    <phoneticPr fontId="37"/>
  </si>
  <si>
    <t>115超120万円以下</t>
    <rPh sb="3" eb="4">
      <t>チョウ</t>
    </rPh>
    <rPh sb="7" eb="9">
      <t>マンエン</t>
    </rPh>
    <rPh sb="9" eb="11">
      <t>イカ</t>
    </rPh>
    <phoneticPr fontId="37"/>
  </si>
  <si>
    <t>120超125万円以下</t>
    <rPh sb="3" eb="4">
      <t>チョウ</t>
    </rPh>
    <rPh sb="7" eb="9">
      <t>マンエン</t>
    </rPh>
    <rPh sb="9" eb="11">
      <t>イカ</t>
    </rPh>
    <phoneticPr fontId="37"/>
  </si>
  <si>
    <t>125超130万円以下</t>
    <rPh sb="3" eb="4">
      <t>チョウ</t>
    </rPh>
    <rPh sb="7" eb="9">
      <t>マンエン</t>
    </rPh>
    <rPh sb="9" eb="11">
      <t>イカ</t>
    </rPh>
    <phoneticPr fontId="37"/>
  </si>
  <si>
    <t>130超133万円以下</t>
    <rPh sb="3" eb="4">
      <t>チョウ</t>
    </rPh>
    <rPh sb="7" eb="9">
      <t>マンエン</t>
    </rPh>
    <rPh sb="9" eb="11">
      <t>イカ</t>
    </rPh>
    <phoneticPr fontId="37"/>
  </si>
  <si>
    <t>配偶者特別控除額</t>
    <rPh sb="0" eb="3">
      <t>ハイグウシャ</t>
    </rPh>
    <rPh sb="3" eb="5">
      <t>トクベツ</t>
    </rPh>
    <rPh sb="5" eb="7">
      <t>コウジョ</t>
    </rPh>
    <rPh sb="7" eb="8">
      <t>ガク</t>
    </rPh>
    <phoneticPr fontId="37"/>
  </si>
  <si>
    <t>扶養控除</t>
    <rPh sb="0" eb="2">
      <t>フヨウ</t>
    </rPh>
    <rPh sb="2" eb="4">
      <t>コウジョ</t>
    </rPh>
    <phoneticPr fontId="37"/>
  </si>
  <si>
    <t>三人目</t>
    <rPh sb="0" eb="2">
      <t>サンニン</t>
    </rPh>
    <rPh sb="2" eb="3">
      <t>メ</t>
    </rPh>
    <phoneticPr fontId="37"/>
  </si>
  <si>
    <t>四人目</t>
    <rPh sb="0" eb="2">
      <t>ヨニン</t>
    </rPh>
    <rPh sb="2" eb="3">
      <t>メ</t>
    </rPh>
    <phoneticPr fontId="37"/>
  </si>
  <si>
    <t>年齢要件</t>
    <rPh sb="0" eb="2">
      <t>ネンレイ</t>
    </rPh>
    <rPh sb="2" eb="4">
      <t>ヨウケン</t>
    </rPh>
    <phoneticPr fontId="37"/>
  </si>
  <si>
    <t>一般</t>
    <rPh sb="0" eb="2">
      <t>イッパン</t>
    </rPh>
    <phoneticPr fontId="37"/>
  </si>
  <si>
    <t>特定扶養</t>
    <rPh sb="0" eb="2">
      <t>トクテイ</t>
    </rPh>
    <rPh sb="2" eb="4">
      <t>フヨウ</t>
    </rPh>
    <phoneticPr fontId="37"/>
  </si>
  <si>
    <t>老人</t>
    <rPh sb="0" eb="2">
      <t>ロウジン</t>
    </rPh>
    <phoneticPr fontId="37"/>
  </si>
  <si>
    <t>扶養控除のうち、別居の扶養親族</t>
    <rPh sb="0" eb="2">
      <t>フヨウ</t>
    </rPh>
    <rPh sb="2" eb="4">
      <t>コウジョ</t>
    </rPh>
    <rPh sb="8" eb="10">
      <t>ベッキョ</t>
    </rPh>
    <rPh sb="11" eb="13">
      <t>フヨウ</t>
    </rPh>
    <rPh sb="13" eb="15">
      <t>シンゾク</t>
    </rPh>
    <phoneticPr fontId="37"/>
  </si>
  <si>
    <t>別居の人の累計</t>
    <rPh sb="0" eb="2">
      <t>ベッキョ</t>
    </rPh>
    <rPh sb="3" eb="4">
      <t>ヒト</t>
    </rPh>
    <rPh sb="5" eb="7">
      <t>ルイケイ</t>
    </rPh>
    <phoneticPr fontId="37"/>
  </si>
  <si>
    <t>同居or別居の標記</t>
    <rPh sb="4" eb="6">
      <t>ベッキョ</t>
    </rPh>
    <rPh sb="7" eb="9">
      <t>ヒョウキ</t>
    </rPh>
    <phoneticPr fontId="37"/>
  </si>
  <si>
    <t>累計+同居or別居</t>
    <rPh sb="0" eb="2">
      <t>ルイケイ</t>
    </rPh>
    <rPh sb="3" eb="5">
      <t>ドウキョ</t>
    </rPh>
    <rPh sb="7" eb="9">
      <t>ベッキョ</t>
    </rPh>
    <phoneticPr fontId="37"/>
  </si>
  <si>
    <t>寡婦控除・ひとり親控除</t>
    <rPh sb="0" eb="2">
      <t>カフ</t>
    </rPh>
    <rPh sb="2" eb="4">
      <t>コウジョ</t>
    </rPh>
    <rPh sb="8" eb="9">
      <t>オヤ</t>
    </rPh>
    <rPh sb="9" eb="11">
      <t>コウジョ</t>
    </rPh>
    <phoneticPr fontId="37"/>
  </si>
  <si>
    <t>配偶者控除額</t>
    <rPh sb="0" eb="3">
      <t>ハイグウシャ</t>
    </rPh>
    <rPh sb="3" eb="5">
      <t>コウジョ</t>
    </rPh>
    <rPh sb="5" eb="6">
      <t>ガク</t>
    </rPh>
    <phoneticPr fontId="37"/>
  </si>
  <si>
    <t>マイナンバーカードもしくは通知カードの写し（マイナンバーカード（顔写真があるもの）であれば身分証明書と兼ねられます）</t>
  </si>
  <si>
    <t>・</t>
    <phoneticPr fontId="37"/>
  </si>
  <si>
    <t>運転免許証等の身分証明書の写し（変更がある場合は、変更内容が分かるように裏面等も合わせて提出）</t>
    <rPh sb="0" eb="2">
      <t>ウンテン</t>
    </rPh>
    <rPh sb="2" eb="5">
      <t>メンキョショウ</t>
    </rPh>
    <rPh sb="5" eb="6">
      <t>トウ</t>
    </rPh>
    <rPh sb="7" eb="9">
      <t>ミブン</t>
    </rPh>
    <rPh sb="9" eb="12">
      <t>ショウメイショ</t>
    </rPh>
    <rPh sb="13" eb="14">
      <t>ウツ</t>
    </rPh>
    <rPh sb="16" eb="18">
      <t>ヘンコウ</t>
    </rPh>
    <rPh sb="21" eb="23">
      <t>バアイ</t>
    </rPh>
    <rPh sb="25" eb="27">
      <t>ヘンコウ</t>
    </rPh>
    <rPh sb="27" eb="29">
      <t>ナイヨウ</t>
    </rPh>
    <rPh sb="30" eb="31">
      <t>ワ</t>
    </rPh>
    <rPh sb="36" eb="38">
      <t>ウラメン</t>
    </rPh>
    <rPh sb="38" eb="39">
      <t>トウ</t>
    </rPh>
    <rPh sb="40" eb="41">
      <t>ア</t>
    </rPh>
    <rPh sb="44" eb="46">
      <t>テイシュツ</t>
    </rPh>
    <phoneticPr fontId="37"/>
  </si>
  <si>
    <t>給与源泉徴収票</t>
    <rPh sb="0" eb="2">
      <t>キュウヨ</t>
    </rPh>
    <rPh sb="2" eb="4">
      <t>ゲンセン</t>
    </rPh>
    <rPh sb="4" eb="7">
      <t>チョウシュウヒョウ</t>
    </rPh>
    <phoneticPr fontId="37"/>
  </si>
  <si>
    <t>生命保険料控除</t>
    <rPh sb="0" eb="2">
      <t>セイメイ</t>
    </rPh>
    <rPh sb="2" eb="4">
      <t>ホケン</t>
    </rPh>
    <rPh sb="4" eb="5">
      <t>リョウ</t>
    </rPh>
    <rPh sb="5" eb="7">
      <t>コウジョ</t>
    </rPh>
    <phoneticPr fontId="37"/>
  </si>
  <si>
    <t>地震保険料控除</t>
    <rPh sb="0" eb="2">
      <t>ジシン</t>
    </rPh>
    <rPh sb="2" eb="5">
      <t>ホケンリョウ</t>
    </rPh>
    <rPh sb="5" eb="7">
      <t>コウジョ</t>
    </rPh>
    <phoneticPr fontId="37"/>
  </si>
  <si>
    <t>雑所得</t>
    <rPh sb="0" eb="3">
      <t>ザツショトク</t>
    </rPh>
    <phoneticPr fontId="37"/>
  </si>
  <si>
    <t>配当所得</t>
    <rPh sb="0" eb="2">
      <t>ハイトウ</t>
    </rPh>
    <rPh sb="2" eb="4">
      <t>ショトク</t>
    </rPh>
    <phoneticPr fontId="37"/>
  </si>
  <si>
    <t>添付書類の累計</t>
    <rPh sb="0" eb="2">
      <t>テンプ</t>
    </rPh>
    <rPh sb="2" eb="4">
      <t>ショルイ</t>
    </rPh>
    <rPh sb="5" eb="7">
      <t>ルイケイ</t>
    </rPh>
    <phoneticPr fontId="37"/>
  </si>
  <si>
    <t>給与源泉徴収票の写しを提出してください。なお、勤務先から市役所へ給与支払報告書が提出されている場合は不要です。</t>
    <rPh sb="0" eb="2">
      <t>キュウヨ</t>
    </rPh>
    <rPh sb="2" eb="4">
      <t>ゲンセン</t>
    </rPh>
    <rPh sb="4" eb="7">
      <t>チョウシュウヒョウ</t>
    </rPh>
    <rPh sb="8" eb="9">
      <t>ウツ</t>
    </rPh>
    <rPh sb="11" eb="13">
      <t>テイシュツ</t>
    </rPh>
    <rPh sb="23" eb="26">
      <t>キンムサキ</t>
    </rPh>
    <rPh sb="28" eb="31">
      <t>シヤクショ</t>
    </rPh>
    <rPh sb="32" eb="34">
      <t>キュウヨ</t>
    </rPh>
    <rPh sb="34" eb="36">
      <t>シハライ</t>
    </rPh>
    <rPh sb="36" eb="39">
      <t>ホウコクショ</t>
    </rPh>
    <rPh sb="40" eb="42">
      <t>テイシュツ</t>
    </rPh>
    <rPh sb="47" eb="49">
      <t>バアイ</t>
    </rPh>
    <rPh sb="50" eb="52">
      <t>フヨウ</t>
    </rPh>
    <phoneticPr fontId="37"/>
  </si>
  <si>
    <t>障害者手帳の写し（障害の程度がわかる箇所）や障害者控除対象者認定書を提出してください。所有していない場合は不要です。</t>
    <rPh sb="0" eb="3">
      <t>ショウガイシャ</t>
    </rPh>
    <rPh sb="3" eb="5">
      <t>テチョウ</t>
    </rPh>
    <rPh sb="6" eb="7">
      <t>ウツ</t>
    </rPh>
    <rPh sb="9" eb="11">
      <t>ショウガイ</t>
    </rPh>
    <rPh sb="12" eb="14">
      <t>テイド</t>
    </rPh>
    <rPh sb="18" eb="20">
      <t>カショ</t>
    </rPh>
    <rPh sb="22" eb="25">
      <t>ショウガイシャ</t>
    </rPh>
    <rPh sb="25" eb="27">
      <t>コウジョ</t>
    </rPh>
    <rPh sb="27" eb="29">
      <t>タイショウ</t>
    </rPh>
    <rPh sb="29" eb="30">
      <t>シャ</t>
    </rPh>
    <rPh sb="30" eb="33">
      <t>ニンテイショ</t>
    </rPh>
    <rPh sb="34" eb="36">
      <t>テイシュツ</t>
    </rPh>
    <rPh sb="43" eb="45">
      <t>ショユウ</t>
    </rPh>
    <rPh sb="50" eb="52">
      <t>バアイ</t>
    </rPh>
    <rPh sb="53" eb="55">
      <t>フヨウ</t>
    </rPh>
    <phoneticPr fontId="37"/>
  </si>
  <si>
    <t>別居扶養親族と同様に添付資料に何が必要かを表示させます。各値に0より大きい値が入っていてると「添付」を表示させます。添付書類の累計&amp;添付を表示させ、VLOOKUPで表示させます。</t>
    <rPh sb="0" eb="2">
      <t>ベッキョ</t>
    </rPh>
    <rPh sb="2" eb="4">
      <t>フヨウ</t>
    </rPh>
    <rPh sb="4" eb="6">
      <t>シンゾク</t>
    </rPh>
    <rPh sb="7" eb="9">
      <t>ドウヨウ</t>
    </rPh>
    <rPh sb="10" eb="12">
      <t>テンプ</t>
    </rPh>
    <rPh sb="12" eb="14">
      <t>シリョウ</t>
    </rPh>
    <rPh sb="15" eb="16">
      <t>ナニ</t>
    </rPh>
    <rPh sb="17" eb="19">
      <t>ヒツヨウ</t>
    </rPh>
    <rPh sb="21" eb="23">
      <t>ヒョウジ</t>
    </rPh>
    <rPh sb="28" eb="29">
      <t>カク</t>
    </rPh>
    <rPh sb="29" eb="30">
      <t>アタイ</t>
    </rPh>
    <rPh sb="34" eb="35">
      <t>オオ</t>
    </rPh>
    <rPh sb="37" eb="38">
      <t>アタイ</t>
    </rPh>
    <rPh sb="39" eb="40">
      <t>ハイ</t>
    </rPh>
    <rPh sb="47" eb="49">
      <t>テンプ</t>
    </rPh>
    <rPh sb="51" eb="53">
      <t>ヒョウジ</t>
    </rPh>
    <rPh sb="58" eb="60">
      <t>テンプ</t>
    </rPh>
    <rPh sb="60" eb="62">
      <t>ショルイ</t>
    </rPh>
    <rPh sb="63" eb="65">
      <t>ルイケイ</t>
    </rPh>
    <rPh sb="66" eb="68">
      <t>テンプ</t>
    </rPh>
    <rPh sb="69" eb="71">
      <t>ヒョウジ</t>
    </rPh>
    <rPh sb="82" eb="84">
      <t>ヒョウジ</t>
    </rPh>
    <phoneticPr fontId="37"/>
  </si>
  <si>
    <t>添付書類</t>
    <rPh sb="0" eb="2">
      <t>テンプ</t>
    </rPh>
    <rPh sb="2" eb="4">
      <t>ショルイ</t>
    </rPh>
    <phoneticPr fontId="37"/>
  </si>
  <si>
    <t>添付必要性</t>
    <rPh sb="0" eb="2">
      <t>テンプ</t>
    </rPh>
    <rPh sb="2" eb="5">
      <t>ヒツヨウセイ</t>
    </rPh>
    <phoneticPr fontId="37"/>
  </si>
  <si>
    <t>累計&amp;必要性</t>
    <rPh sb="0" eb="2">
      <t>ルイケイ</t>
    </rPh>
    <rPh sb="3" eb="6">
      <t>ヒツヨウセイ</t>
    </rPh>
    <phoneticPr fontId="37"/>
  </si>
  <si>
    <t>案内文</t>
    <rPh sb="0" eb="3">
      <t>アンナイブン</t>
    </rPh>
    <phoneticPr fontId="37"/>
  </si>
  <si>
    <t>営業</t>
    <rPh sb="0" eb="2">
      <t>エイギョウ</t>
    </rPh>
    <phoneticPr fontId="37"/>
  </si>
  <si>
    <t>農業</t>
    <rPh sb="0" eb="2">
      <t>ノウギョウ</t>
    </rPh>
    <phoneticPr fontId="37"/>
  </si>
  <si>
    <t>不動産</t>
    <rPh sb="0" eb="3">
      <t>フドウサン</t>
    </rPh>
    <phoneticPr fontId="37"/>
  </si>
  <si>
    <t>営業収入に関する収支内訳書を合わせて提出してください。</t>
    <rPh sb="0" eb="2">
      <t>エイギョウ</t>
    </rPh>
    <rPh sb="2" eb="4">
      <t>シュウニュウ</t>
    </rPh>
    <rPh sb="5" eb="6">
      <t>カン</t>
    </rPh>
    <rPh sb="8" eb="10">
      <t>シュウシ</t>
    </rPh>
    <rPh sb="10" eb="13">
      <t>ウチワケショ</t>
    </rPh>
    <rPh sb="14" eb="15">
      <t>ア</t>
    </rPh>
    <rPh sb="18" eb="20">
      <t>テイシュツ</t>
    </rPh>
    <phoneticPr fontId="37"/>
  </si>
  <si>
    <t>農業収入に関する収支内訳書を合わせて提出してください。</t>
    <rPh sb="0" eb="2">
      <t>ノウギョウ</t>
    </rPh>
    <rPh sb="2" eb="4">
      <t>シュウニュウ</t>
    </rPh>
    <rPh sb="5" eb="6">
      <t>カン</t>
    </rPh>
    <rPh sb="8" eb="10">
      <t>シュウシ</t>
    </rPh>
    <rPh sb="10" eb="13">
      <t>ウチワケショ</t>
    </rPh>
    <rPh sb="14" eb="15">
      <t>ア</t>
    </rPh>
    <rPh sb="18" eb="20">
      <t>テイシュツ</t>
    </rPh>
    <phoneticPr fontId="37"/>
  </si>
  <si>
    <t>不動産収入に関する収支内訳書を合わせて提出してください。</t>
    <rPh sb="0" eb="3">
      <t>フドウサン</t>
    </rPh>
    <rPh sb="3" eb="5">
      <t>シュウニュウ</t>
    </rPh>
    <rPh sb="6" eb="7">
      <t>カン</t>
    </rPh>
    <rPh sb="9" eb="11">
      <t>シュウシ</t>
    </rPh>
    <rPh sb="11" eb="14">
      <t>ウチワケショ</t>
    </rPh>
    <rPh sb="15" eb="16">
      <t>ア</t>
    </rPh>
    <rPh sb="19" eb="21">
      <t>テイシュツ</t>
    </rPh>
    <phoneticPr fontId="37"/>
  </si>
  <si>
    <t>添付書類（収支内訳書を含む）</t>
    <rPh sb="0" eb="2">
      <t>テンプ</t>
    </rPh>
    <rPh sb="2" eb="4">
      <t>ショルイ</t>
    </rPh>
    <rPh sb="5" eb="7">
      <t>シュウシ</t>
    </rPh>
    <rPh sb="7" eb="10">
      <t>ウチワケショ</t>
    </rPh>
    <rPh sb="11" eb="12">
      <t>フク</t>
    </rPh>
    <phoneticPr fontId="37"/>
  </si>
  <si>
    <t>以下の書類をこの紙等に添付し、郵送にて提出してください。申告書を持参する場合で、窓口にて原本を確認する場合、写しは不要です。</t>
    <rPh sb="0" eb="2">
      <t>イカ</t>
    </rPh>
    <rPh sb="3" eb="5">
      <t>ショルイ</t>
    </rPh>
    <rPh sb="8" eb="9">
      <t>カミ</t>
    </rPh>
    <rPh sb="9" eb="10">
      <t>トウ</t>
    </rPh>
    <rPh sb="11" eb="13">
      <t>テンプ</t>
    </rPh>
    <rPh sb="15" eb="17">
      <t>ユウソウ</t>
    </rPh>
    <rPh sb="19" eb="21">
      <t>テイシュツ</t>
    </rPh>
    <rPh sb="28" eb="31">
      <t>シンコクショ</t>
    </rPh>
    <rPh sb="32" eb="34">
      <t>ジサン</t>
    </rPh>
    <rPh sb="36" eb="38">
      <t>バアイ</t>
    </rPh>
    <rPh sb="40" eb="42">
      <t>マドグチ</t>
    </rPh>
    <rPh sb="44" eb="46">
      <t>ゲンポン</t>
    </rPh>
    <rPh sb="47" eb="49">
      <t>カクニン</t>
    </rPh>
    <rPh sb="51" eb="53">
      <t>バアイ</t>
    </rPh>
    <rPh sb="54" eb="55">
      <t>ウツ</t>
    </rPh>
    <rPh sb="57" eb="59">
      <t>フヨウ</t>
    </rPh>
    <phoneticPr fontId="37"/>
  </si>
  <si>
    <t>1-1</t>
    <phoneticPr fontId="37"/>
  </si>
  <si>
    <t>支払金額</t>
    <rPh sb="0" eb="2">
      <t>シハライ</t>
    </rPh>
    <rPh sb="2" eb="4">
      <t>キンガク</t>
    </rPh>
    <phoneticPr fontId="37"/>
  </si>
  <si>
    <t>合計</t>
    <rPh sb="0" eb="2">
      <t>ゴウケイ</t>
    </rPh>
    <phoneticPr fontId="37"/>
  </si>
  <si>
    <t>1-2</t>
    <phoneticPr fontId="37"/>
  </si>
  <si>
    <t>勤務先名</t>
    <rPh sb="0" eb="3">
      <t>キンムサキ</t>
    </rPh>
    <rPh sb="3" eb="4">
      <t>メイ</t>
    </rPh>
    <phoneticPr fontId="37"/>
  </si>
  <si>
    <t>勤務先住所</t>
    <rPh sb="0" eb="3">
      <t>キンムサキ</t>
    </rPh>
    <rPh sb="3" eb="5">
      <t>ジュウショ</t>
    </rPh>
    <phoneticPr fontId="37"/>
  </si>
  <si>
    <t>勤務先電話番号</t>
    <rPh sb="0" eb="3">
      <t>キンムサキ</t>
    </rPh>
    <rPh sb="3" eb="5">
      <t>デンワ</t>
    </rPh>
    <rPh sb="5" eb="7">
      <t>バンゴウ</t>
    </rPh>
    <phoneticPr fontId="37"/>
  </si>
  <si>
    <t>円</t>
    <rPh sb="0" eb="1">
      <t>エン</t>
    </rPh>
    <phoneticPr fontId="37"/>
  </si>
  <si>
    <t>金額</t>
    <rPh sb="0" eb="2">
      <t>キンガク</t>
    </rPh>
    <phoneticPr fontId="37"/>
  </si>
  <si>
    <t>月</t>
    <rPh sb="0" eb="1">
      <t>ツキ</t>
    </rPh>
    <phoneticPr fontId="37"/>
  </si>
  <si>
    <t>一般給与</t>
    <rPh sb="0" eb="2">
      <t>イッパン</t>
    </rPh>
    <rPh sb="2" eb="4">
      <t>キュウヨ</t>
    </rPh>
    <phoneticPr fontId="37"/>
  </si>
  <si>
    <t>白色専従者給与</t>
    <rPh sb="0" eb="2">
      <t>シロイロ</t>
    </rPh>
    <rPh sb="2" eb="5">
      <t>センジュウシャ</t>
    </rPh>
    <rPh sb="5" eb="7">
      <t>キュウヨ</t>
    </rPh>
    <phoneticPr fontId="37"/>
  </si>
  <si>
    <t>青色専従者給与</t>
    <rPh sb="0" eb="2">
      <t>アオイロ</t>
    </rPh>
    <rPh sb="2" eb="5">
      <t>センジュウシャ</t>
    </rPh>
    <rPh sb="5" eb="7">
      <t>キュウヨ</t>
    </rPh>
    <phoneticPr fontId="37"/>
  </si>
  <si>
    <t>２．</t>
    <phoneticPr fontId="37"/>
  </si>
  <si>
    <t>2-1</t>
    <phoneticPr fontId="37"/>
  </si>
  <si>
    <t>２．</t>
    <phoneticPr fontId="37"/>
  </si>
  <si>
    <t>経費等</t>
    <rPh sb="0" eb="2">
      <t>ケイヒ</t>
    </rPh>
    <rPh sb="2" eb="3">
      <t>トウ</t>
    </rPh>
    <phoneticPr fontId="37"/>
  </si>
  <si>
    <t>差引金額</t>
    <rPh sb="0" eb="1">
      <t>サ</t>
    </rPh>
    <rPh sb="1" eb="2">
      <t>ヒ</t>
    </rPh>
    <rPh sb="2" eb="4">
      <t>キンガク</t>
    </rPh>
    <phoneticPr fontId="37"/>
  </si>
  <si>
    <t>所得金額</t>
    <rPh sb="0" eb="2">
      <t>ショトク</t>
    </rPh>
    <rPh sb="2" eb="4">
      <t>キンガク</t>
    </rPh>
    <phoneticPr fontId="37"/>
  </si>
  <si>
    <t>特別控除額</t>
    <rPh sb="0" eb="2">
      <t>トクベツ</t>
    </rPh>
    <rPh sb="2" eb="4">
      <t>コウジョ</t>
    </rPh>
    <rPh sb="4" eb="5">
      <t>ガク</t>
    </rPh>
    <phoneticPr fontId="37"/>
  </si>
  <si>
    <t>総合譲渡・一時所得の金額</t>
    <rPh sb="0" eb="2">
      <t>ソウゴウ</t>
    </rPh>
    <rPh sb="2" eb="4">
      <t>ジョウト</t>
    </rPh>
    <rPh sb="5" eb="7">
      <t>イチジ</t>
    </rPh>
    <rPh sb="7" eb="9">
      <t>ショトク</t>
    </rPh>
    <rPh sb="10" eb="12">
      <t>キンガク</t>
    </rPh>
    <phoneticPr fontId="37"/>
  </si>
  <si>
    <t>医療費控除</t>
    <rPh sb="0" eb="3">
      <t>イリョウヒ</t>
    </rPh>
    <rPh sb="3" eb="5">
      <t>コウジョ</t>
    </rPh>
    <phoneticPr fontId="37"/>
  </si>
  <si>
    <t>医療費支払金額の総計</t>
    <rPh sb="0" eb="3">
      <t>イリョウヒ</t>
    </rPh>
    <rPh sb="3" eb="5">
      <t>シハライ</t>
    </rPh>
    <rPh sb="5" eb="7">
      <t>キンガク</t>
    </rPh>
    <rPh sb="8" eb="10">
      <t>ソウケイ</t>
    </rPh>
    <phoneticPr fontId="37"/>
  </si>
  <si>
    <t>セルフメディケーション税制</t>
    <rPh sb="11" eb="13">
      <t>ゼイセイ</t>
    </rPh>
    <phoneticPr fontId="37"/>
  </si>
  <si>
    <t>支払金額から補填される金額</t>
    <rPh sb="0" eb="2">
      <t>シハライ</t>
    </rPh>
    <rPh sb="2" eb="4">
      <t>キンガク</t>
    </rPh>
    <rPh sb="6" eb="8">
      <t>ホテン</t>
    </rPh>
    <rPh sb="11" eb="13">
      <t>キンガク</t>
    </rPh>
    <phoneticPr fontId="37"/>
  </si>
  <si>
    <t>円</t>
    <rPh sb="0" eb="1">
      <t>エン</t>
    </rPh>
    <phoneticPr fontId="37"/>
  </si>
  <si>
    <t>控除金額</t>
    <rPh sb="0" eb="2">
      <t>コウジョ</t>
    </rPh>
    <rPh sb="2" eb="4">
      <t>キンガク</t>
    </rPh>
    <phoneticPr fontId="37"/>
  </si>
  <si>
    <t>なお、医療費控除と併せて控除を適用することはできません。</t>
    <rPh sb="3" eb="6">
      <t>イリョウヒ</t>
    </rPh>
    <rPh sb="6" eb="8">
      <t>コウジョ</t>
    </rPh>
    <rPh sb="9" eb="10">
      <t>アワ</t>
    </rPh>
    <rPh sb="12" eb="14">
      <t>コウジョ</t>
    </rPh>
    <rPh sb="15" eb="17">
      <t>テキヨウ</t>
    </rPh>
    <phoneticPr fontId="37"/>
  </si>
  <si>
    <t>支払金額の総計</t>
    <rPh sb="0" eb="2">
      <t>シハライ</t>
    </rPh>
    <rPh sb="2" eb="4">
      <t>キンガク</t>
    </rPh>
    <rPh sb="5" eb="7">
      <t>ソウケイ</t>
    </rPh>
    <phoneticPr fontId="37"/>
  </si>
  <si>
    <t>寄付金控除（税額控除）</t>
    <rPh sb="0" eb="3">
      <t>キフキン</t>
    </rPh>
    <rPh sb="3" eb="5">
      <t>コウジョ</t>
    </rPh>
    <rPh sb="6" eb="8">
      <t>ゼイガク</t>
    </rPh>
    <rPh sb="8" eb="10">
      <t>コウジョ</t>
    </rPh>
    <phoneticPr fontId="37"/>
  </si>
  <si>
    <t>３．</t>
    <phoneticPr fontId="37"/>
  </si>
  <si>
    <t>群馬県共同募金会、日本赤十字社群馬県支部分
・都道府県、市区町村分（特例控除対象以外）</t>
    <phoneticPr fontId="37"/>
  </si>
  <si>
    <t>県条例のみ指定分</t>
    <rPh sb="0" eb="1">
      <t>ケン</t>
    </rPh>
    <rPh sb="1" eb="3">
      <t>ジョウレイ</t>
    </rPh>
    <rPh sb="5" eb="7">
      <t>シテイ</t>
    </rPh>
    <rPh sb="7" eb="8">
      <t>ブン</t>
    </rPh>
    <phoneticPr fontId="37"/>
  </si>
  <si>
    <t>市条例のみ指定分</t>
    <rPh sb="0" eb="1">
      <t>シ</t>
    </rPh>
    <rPh sb="1" eb="3">
      <t>ジョウレイ</t>
    </rPh>
    <rPh sb="5" eb="7">
      <t>シテイ</t>
    </rPh>
    <rPh sb="7" eb="8">
      <t>ブン</t>
    </rPh>
    <phoneticPr fontId="37"/>
  </si>
  <si>
    <t>市および県条例指定分</t>
    <rPh sb="0" eb="1">
      <t>シ</t>
    </rPh>
    <rPh sb="4" eb="5">
      <t>ケン</t>
    </rPh>
    <rPh sb="5" eb="7">
      <t>ジョウレイ</t>
    </rPh>
    <rPh sb="7" eb="9">
      <t>シテイ</t>
    </rPh>
    <rPh sb="9" eb="10">
      <t>ブン</t>
    </rPh>
    <phoneticPr fontId="37"/>
  </si>
  <si>
    <t>円</t>
    <phoneticPr fontId="37"/>
  </si>
  <si>
    <t>都道府県、市区町村分（特例控除対象）</t>
    <phoneticPr fontId="37"/>
  </si>
  <si>
    <t>地震のみ</t>
    <rPh sb="0" eb="2">
      <t>ジシン</t>
    </rPh>
    <phoneticPr fontId="37"/>
  </si>
  <si>
    <t>旧長期のみ</t>
    <rPh sb="0" eb="1">
      <t>キュウ</t>
    </rPh>
    <rPh sb="1" eb="3">
      <t>チョウキ</t>
    </rPh>
    <phoneticPr fontId="37"/>
  </si>
  <si>
    <t>両方</t>
    <rPh sb="0" eb="2">
      <t>リョウホウ</t>
    </rPh>
    <phoneticPr fontId="37"/>
  </si>
  <si>
    <t>控除額</t>
    <rPh sb="0" eb="2">
      <t>コウジョ</t>
    </rPh>
    <rPh sb="2" eb="3">
      <t>ガク</t>
    </rPh>
    <phoneticPr fontId="37"/>
  </si>
  <si>
    <t>VLOOKUP特別障害</t>
    <rPh sb="7" eb="9">
      <t>トクベツ</t>
    </rPh>
    <rPh sb="9" eb="11">
      <t>ショウガイ</t>
    </rPh>
    <phoneticPr fontId="37"/>
  </si>
  <si>
    <t>障害控除の区分</t>
    <rPh sb="2" eb="4">
      <t>コウジョ</t>
    </rPh>
    <rPh sb="5" eb="7">
      <t>クブン</t>
    </rPh>
    <phoneticPr fontId="37"/>
  </si>
  <si>
    <t>氏名</t>
    <rPh sb="0" eb="2">
      <t>シメイ</t>
    </rPh>
    <phoneticPr fontId="37"/>
  </si>
  <si>
    <t>カナ氏名</t>
    <rPh sb="2" eb="4">
      <t>シメイ</t>
    </rPh>
    <phoneticPr fontId="37"/>
  </si>
  <si>
    <t>障害の程度</t>
    <rPh sb="0" eb="2">
      <t>ショウガイ</t>
    </rPh>
    <rPh sb="3" eb="5">
      <t>テイド</t>
    </rPh>
    <phoneticPr fontId="37"/>
  </si>
  <si>
    <t>ケ</t>
    <phoneticPr fontId="37"/>
  </si>
  <si>
    <t>コ</t>
    <phoneticPr fontId="2" type="noConversion"/>
  </si>
  <si>
    <t>サ</t>
    <phoneticPr fontId="2" type="noConversion"/>
  </si>
  <si>
    <t>シ</t>
    <phoneticPr fontId="37"/>
  </si>
  <si>
    <t>⑪</t>
    <phoneticPr fontId="37"/>
  </si>
  <si>
    <t>⑫</t>
    <phoneticPr fontId="37"/>
  </si>
  <si>
    <t>⑬</t>
    <phoneticPr fontId="37"/>
  </si>
  <si>
    <t>⑭</t>
    <phoneticPr fontId="37"/>
  </si>
  <si>
    <t>⑮</t>
    <phoneticPr fontId="37"/>
  </si>
  <si>
    <t>⑰～⑱</t>
    <phoneticPr fontId="37"/>
  </si>
  <si>
    <t>⑲</t>
    <phoneticPr fontId="2" type="noConversion"/>
  </si>
  <si>
    <t>⑳</t>
    <phoneticPr fontId="2" type="noConversion"/>
  </si>
  <si>
    <t>㉑</t>
    <phoneticPr fontId="37"/>
  </si>
  <si>
    <t>㉒</t>
    <phoneticPr fontId="37"/>
  </si>
  <si>
    <t>㉓</t>
    <phoneticPr fontId="37"/>
  </si>
  <si>
    <t>㉔</t>
    <phoneticPr fontId="37"/>
  </si>
  <si>
    <t>⑬から㉔までの計</t>
    <phoneticPr fontId="37"/>
  </si>
  <si>
    <t>㉕</t>
    <phoneticPr fontId="37"/>
  </si>
  <si>
    <t>㉖</t>
    <phoneticPr fontId="37"/>
  </si>
  <si>
    <t>㉗</t>
    <phoneticPr fontId="37"/>
  </si>
  <si>
    <t>㉘</t>
    <phoneticPr fontId="37"/>
  </si>
  <si>
    <t>合計(㉕+㉖+㉗)</t>
    <phoneticPr fontId="37"/>
  </si>
  <si>
    <t>　</t>
  </si>
  <si>
    <t>公的年金収入から所得金額を算出するため、申告者の生年月日を西暦表記に換算します。</t>
    <rPh sb="0" eb="2">
      <t>コウテキ</t>
    </rPh>
    <rPh sb="2" eb="4">
      <t>ネンキン</t>
    </rPh>
    <rPh sb="4" eb="6">
      <t>シュウニュウ</t>
    </rPh>
    <rPh sb="8" eb="10">
      <t>ショトク</t>
    </rPh>
    <rPh sb="10" eb="12">
      <t>キンガク</t>
    </rPh>
    <rPh sb="13" eb="15">
      <t>サンシュツ</t>
    </rPh>
    <rPh sb="20" eb="23">
      <t>シンコクシャ</t>
    </rPh>
    <rPh sb="24" eb="26">
      <t>セイネン</t>
    </rPh>
    <rPh sb="26" eb="28">
      <t>ガッピ</t>
    </rPh>
    <rPh sb="29" eb="31">
      <t>セイレキ</t>
    </rPh>
    <rPh sb="31" eb="33">
      <t>ヒョウキ</t>
    </rPh>
    <rPh sb="34" eb="36">
      <t>カンザン</t>
    </rPh>
    <phoneticPr fontId="37"/>
  </si>
  <si>
    <t>和暦（年）</t>
    <rPh sb="0" eb="2">
      <t>われき</t>
    </rPh>
    <rPh sb="3" eb="4">
      <t>ねん</t>
    </rPh>
    <phoneticPr fontId="2" type="noConversion"/>
  </si>
  <si>
    <t>傷病手当</t>
    <rPh sb="0" eb="2">
      <t>ショウビョウ</t>
    </rPh>
    <rPh sb="2" eb="4">
      <t>テアテ</t>
    </rPh>
    <phoneticPr fontId="37"/>
  </si>
  <si>
    <t>奨学金</t>
    <rPh sb="0" eb="3">
      <t>ショウガクキン</t>
    </rPh>
    <phoneticPr fontId="37"/>
  </si>
  <si>
    <t>傷病手当</t>
    <rPh sb="0" eb="2">
      <t>ショウビョウ</t>
    </rPh>
    <rPh sb="2" eb="4">
      <t>テアテ</t>
    </rPh>
    <phoneticPr fontId="37"/>
  </si>
  <si>
    <t>奨学金</t>
    <rPh sb="0" eb="3">
      <t>ショウガクキン</t>
    </rPh>
    <phoneticPr fontId="37"/>
  </si>
  <si>
    <t>収入がなかった方</t>
    <rPh sb="0" eb="2">
      <t>シュウニュウ</t>
    </rPh>
    <rPh sb="7" eb="8">
      <t>カタ</t>
    </rPh>
    <phoneticPr fontId="37"/>
  </si>
  <si>
    <t>給与収入合計</t>
    <rPh sb="0" eb="2">
      <t>キュウヨ</t>
    </rPh>
    <rPh sb="2" eb="4">
      <t>シュウニュウ</t>
    </rPh>
    <rPh sb="4" eb="6">
      <t>ゴウケイ</t>
    </rPh>
    <phoneticPr fontId="37"/>
  </si>
  <si>
    <t>差をとるだけなので、省略（収入2のシート内で処理）</t>
    <rPh sb="0" eb="1">
      <t>サ</t>
    </rPh>
    <rPh sb="10" eb="12">
      <t>ショウリャク</t>
    </rPh>
    <rPh sb="13" eb="15">
      <t>シュウニュウ</t>
    </rPh>
    <rPh sb="20" eb="21">
      <t>ナイ</t>
    </rPh>
    <rPh sb="22" eb="24">
      <t>ショリ</t>
    </rPh>
    <phoneticPr fontId="37"/>
  </si>
  <si>
    <t>社会保険料・生命保険料・地震保険料</t>
    <rPh sb="0" eb="2">
      <t>シャカイ</t>
    </rPh>
    <rPh sb="2" eb="5">
      <t>ホケンリョウ</t>
    </rPh>
    <rPh sb="6" eb="8">
      <t>セイメイ</t>
    </rPh>
    <rPh sb="8" eb="10">
      <t>ホケン</t>
    </rPh>
    <rPh sb="10" eb="11">
      <t>リョウ</t>
    </rPh>
    <rPh sb="12" eb="14">
      <t>ジシン</t>
    </rPh>
    <rPh sb="14" eb="17">
      <t>ホケンリョウ</t>
    </rPh>
    <phoneticPr fontId="37"/>
  </si>
  <si>
    <t>配偶者・扶養親族</t>
    <rPh sb="0" eb="3">
      <t>ハイグウシャ</t>
    </rPh>
    <rPh sb="4" eb="6">
      <t>フヨウ</t>
    </rPh>
    <rPh sb="6" eb="8">
      <t>シンゾク</t>
    </rPh>
    <phoneticPr fontId="37"/>
  </si>
  <si>
    <t>扶養親族の生年月日表示（本人の生年月日の表示と同じ流れ）、年齢及び同居から一般扶養、特定扶養、老人扶養、同居老親扶養の金額を表示。計算式は下の年齢要件を参照させています</t>
    <rPh sb="0" eb="2">
      <t>フヨウ</t>
    </rPh>
    <rPh sb="2" eb="4">
      <t>シンゾク</t>
    </rPh>
    <rPh sb="5" eb="7">
      <t>セイネン</t>
    </rPh>
    <rPh sb="7" eb="9">
      <t>ガッピ</t>
    </rPh>
    <rPh sb="9" eb="11">
      <t>ヒョウジ</t>
    </rPh>
    <rPh sb="12" eb="14">
      <t>ホンニン</t>
    </rPh>
    <rPh sb="15" eb="17">
      <t>セイネン</t>
    </rPh>
    <rPh sb="17" eb="19">
      <t>ガッピ</t>
    </rPh>
    <rPh sb="20" eb="22">
      <t>ヒョウジ</t>
    </rPh>
    <rPh sb="23" eb="24">
      <t>オナ</t>
    </rPh>
    <rPh sb="25" eb="26">
      <t>ナガ</t>
    </rPh>
    <rPh sb="29" eb="31">
      <t>ネンレイ</t>
    </rPh>
    <rPh sb="31" eb="32">
      <t>オヨ</t>
    </rPh>
    <rPh sb="33" eb="35">
      <t>ドウキョ</t>
    </rPh>
    <rPh sb="37" eb="39">
      <t>イッパン</t>
    </rPh>
    <rPh sb="39" eb="41">
      <t>フヨウ</t>
    </rPh>
    <rPh sb="42" eb="44">
      <t>トクテイ</t>
    </rPh>
    <rPh sb="44" eb="46">
      <t>フヨウ</t>
    </rPh>
    <rPh sb="47" eb="49">
      <t>ロウジン</t>
    </rPh>
    <rPh sb="49" eb="51">
      <t>フヨウ</t>
    </rPh>
    <rPh sb="52" eb="54">
      <t>ドウキョ</t>
    </rPh>
    <rPh sb="54" eb="56">
      <t>ロウシン</t>
    </rPh>
    <rPh sb="56" eb="58">
      <t>フヨウ</t>
    </rPh>
    <rPh sb="59" eb="61">
      <t>キンガク</t>
    </rPh>
    <rPh sb="62" eb="64">
      <t>ヒョウジ</t>
    </rPh>
    <rPh sb="65" eb="68">
      <t>ケイサンシキ</t>
    </rPh>
    <rPh sb="69" eb="70">
      <t>シタ</t>
    </rPh>
    <rPh sb="71" eb="73">
      <t>ネンレイ</t>
    </rPh>
    <rPh sb="73" eb="75">
      <t>ヨウケン</t>
    </rPh>
    <rPh sb="76" eb="78">
      <t>サンショウ</t>
    </rPh>
    <phoneticPr fontId="37"/>
  </si>
  <si>
    <t>障害者控除</t>
    <rPh sb="0" eb="3">
      <t>ショウガイシャ</t>
    </rPh>
    <rPh sb="3" eb="5">
      <t>コウジョ</t>
    </rPh>
    <phoneticPr fontId="37"/>
  </si>
  <si>
    <t>〇所得金額調整控除（特別障害者）</t>
    <rPh sb="1" eb="3">
      <t>ショトク</t>
    </rPh>
    <rPh sb="3" eb="5">
      <t>キンガク</t>
    </rPh>
    <rPh sb="5" eb="7">
      <t>チョウセイ</t>
    </rPh>
    <rPh sb="7" eb="9">
      <t>コウジョ</t>
    </rPh>
    <rPh sb="10" eb="12">
      <t>トクベツ</t>
    </rPh>
    <rPh sb="12" eb="15">
      <t>ショウガイシャ</t>
    </rPh>
    <phoneticPr fontId="37"/>
  </si>
  <si>
    <t>寡婦・ひとり親控除</t>
    <rPh sb="0" eb="2">
      <t>カフ</t>
    </rPh>
    <rPh sb="6" eb="7">
      <t>オヤ</t>
    </rPh>
    <rPh sb="7" eb="9">
      <t>コウジョ</t>
    </rPh>
    <phoneticPr fontId="37"/>
  </si>
  <si>
    <t>医療費控除・寄附金控除</t>
    <rPh sb="0" eb="3">
      <t>イリョウヒ</t>
    </rPh>
    <rPh sb="3" eb="5">
      <t>コウジョ</t>
    </rPh>
    <rPh sb="6" eb="9">
      <t>キフキン</t>
    </rPh>
    <rPh sb="9" eb="11">
      <t>コウジョ</t>
    </rPh>
    <phoneticPr fontId="37"/>
  </si>
  <si>
    <t>医療費控除</t>
    <rPh sb="0" eb="3">
      <t>イリョウヒ</t>
    </rPh>
    <rPh sb="3" eb="5">
      <t>コウジョ</t>
    </rPh>
    <phoneticPr fontId="37"/>
  </si>
  <si>
    <t>医療費控除、セルフメディケーション税制の両方を計算し、有利な方を選択するようにしています。</t>
    <rPh sb="0" eb="3">
      <t>イリョウヒ</t>
    </rPh>
    <rPh sb="3" eb="5">
      <t>コウジョ</t>
    </rPh>
    <rPh sb="17" eb="19">
      <t>ゼイセイ</t>
    </rPh>
    <rPh sb="20" eb="22">
      <t>リョウホウ</t>
    </rPh>
    <rPh sb="23" eb="25">
      <t>ケイサン</t>
    </rPh>
    <rPh sb="27" eb="29">
      <t>ユウリ</t>
    </rPh>
    <rPh sb="30" eb="31">
      <t>ホウ</t>
    </rPh>
    <rPh sb="32" eb="34">
      <t>センタク</t>
    </rPh>
    <phoneticPr fontId="37"/>
  </si>
  <si>
    <t>セルフメディケーション税制</t>
    <rPh sb="11" eb="13">
      <t>ゼイセイ</t>
    </rPh>
    <phoneticPr fontId="37"/>
  </si>
  <si>
    <t>有利判定後控除額</t>
    <rPh sb="0" eb="2">
      <t>ユウリ</t>
    </rPh>
    <rPh sb="2" eb="4">
      <t>ハンテイ</t>
    </rPh>
    <rPh sb="4" eb="5">
      <t>ゴ</t>
    </rPh>
    <rPh sb="5" eb="7">
      <t>コウジョ</t>
    </rPh>
    <rPh sb="7" eb="8">
      <t>ガク</t>
    </rPh>
    <phoneticPr fontId="37"/>
  </si>
  <si>
    <t>生年
月日</t>
    <phoneticPr fontId="37"/>
  </si>
  <si>
    <t>医療費</t>
    <rPh sb="0" eb="3">
      <t>イリョウヒ</t>
    </rPh>
    <phoneticPr fontId="37"/>
  </si>
  <si>
    <t>寄附金</t>
    <rPh sb="0" eb="3">
      <t>キフキン</t>
    </rPh>
    <phoneticPr fontId="37"/>
  </si>
  <si>
    <t>←</t>
    <phoneticPr fontId="37"/>
  </si>
  <si>
    <t>個人番号</t>
    <rPh sb="0" eb="2">
      <t>コジン</t>
    </rPh>
    <rPh sb="2" eb="4">
      <t>バンゴウ</t>
    </rPh>
    <phoneticPr fontId="37"/>
  </si>
  <si>
    <t>本人</t>
    <rPh sb="0" eb="2">
      <t>ホンニン</t>
    </rPh>
    <phoneticPr fontId="37"/>
  </si>
  <si>
    <t>扶養1</t>
    <rPh sb="0" eb="2">
      <t>フヨウ</t>
    </rPh>
    <phoneticPr fontId="37"/>
  </si>
  <si>
    <t>扶養2</t>
    <rPh sb="0" eb="2">
      <t>フヨウ</t>
    </rPh>
    <phoneticPr fontId="37"/>
  </si>
  <si>
    <t>扶養3</t>
    <rPh sb="0" eb="2">
      <t>フヨウ</t>
    </rPh>
    <phoneticPr fontId="37"/>
  </si>
  <si>
    <t>扶養4</t>
    <rPh sb="0" eb="2">
      <t>フヨウ</t>
    </rPh>
    <phoneticPr fontId="37"/>
  </si>
  <si>
    <t>年少扶養1</t>
    <rPh sb="0" eb="2">
      <t>ネンショウ</t>
    </rPh>
    <rPh sb="2" eb="4">
      <t>フヨウ</t>
    </rPh>
    <phoneticPr fontId="37"/>
  </si>
  <si>
    <t>年少扶養2</t>
    <rPh sb="0" eb="2">
      <t>ネンショウ</t>
    </rPh>
    <rPh sb="2" eb="4">
      <t>フヨウ</t>
    </rPh>
    <phoneticPr fontId="37"/>
  </si>
  <si>
    <t>年少扶養3</t>
    <rPh sb="0" eb="2">
      <t>ネンショウ</t>
    </rPh>
    <rPh sb="2" eb="4">
      <t>フヨウ</t>
    </rPh>
    <phoneticPr fontId="37"/>
  </si>
  <si>
    <t>配偶者</t>
    <rPh sb="0" eb="3">
      <t>ハイグウシャ</t>
    </rPh>
    <phoneticPr fontId="37"/>
  </si>
  <si>
    <t>重複</t>
    <rPh sb="0" eb="2">
      <t>チョウフク</t>
    </rPh>
    <phoneticPr fontId="37"/>
  </si>
  <si>
    <t>重複あり（&gt;0）</t>
    <rPh sb="0" eb="2">
      <t>チョウフク</t>
    </rPh>
    <phoneticPr fontId="37"/>
  </si>
  <si>
    <t>ニ 合計 イ＋〔(ロ＋ハ)×１／２〕</t>
    <phoneticPr fontId="2" type="noConversion"/>
  </si>
  <si>
    <t>その他（理由および生活費の入手など）</t>
  </si>
  <si>
    <t>国外株式等に係る外国所得税額</t>
    <phoneticPr fontId="37"/>
  </si>
  <si>
    <t>所得金額
(差引金額－特別控除額)</t>
    <phoneticPr fontId="37"/>
  </si>
  <si>
    <t>従事月数</t>
    <phoneticPr fontId="37"/>
  </si>
  <si>
    <t>損益通算の特例適用前の不動産所得</t>
    <phoneticPr fontId="37"/>
  </si>
  <si>
    <t>事業用資産の譲渡損失など</t>
    <phoneticPr fontId="37"/>
  </si>
  <si>
    <t>賞与</t>
    <rPh sb="0" eb="2">
      <t>ショウヨ</t>
    </rPh>
    <phoneticPr fontId="37"/>
  </si>
  <si>
    <t>合計</t>
    <rPh sb="0" eb="2">
      <t>ゴウケイ</t>
    </rPh>
    <phoneticPr fontId="37"/>
  </si>
  <si>
    <t>社会保険料等金額</t>
    <rPh sb="0" eb="2">
      <t>シャカイ</t>
    </rPh>
    <rPh sb="2" eb="5">
      <t>ホケンリョウ</t>
    </rPh>
    <rPh sb="5" eb="6">
      <t>トウ</t>
    </rPh>
    <rPh sb="6" eb="8">
      <t>キンガク</t>
    </rPh>
    <phoneticPr fontId="37"/>
  </si>
  <si>
    <t>源泉徴収税</t>
    <rPh sb="0" eb="2">
      <t>ゲンセン</t>
    </rPh>
    <rPh sb="2" eb="4">
      <t>チョウシュウ</t>
    </rPh>
    <rPh sb="4" eb="5">
      <t>ゼイ</t>
    </rPh>
    <phoneticPr fontId="37"/>
  </si>
  <si>
    <t>雑収入</t>
    <rPh sb="0" eb="3">
      <t>ザツシュウニュウ</t>
    </rPh>
    <phoneticPr fontId="37"/>
  </si>
  <si>
    <t>年間賞与</t>
    <rPh sb="0" eb="2">
      <t>ネンカン</t>
    </rPh>
    <rPh sb="2" eb="4">
      <t>ショウヨ</t>
    </rPh>
    <phoneticPr fontId="37"/>
  </si>
  <si>
    <t>②</t>
    <phoneticPr fontId="37"/>
  </si>
  <si>
    <t>③</t>
    <phoneticPr fontId="37"/>
  </si>
  <si>
    <t>⑤</t>
    <phoneticPr fontId="37"/>
  </si>
  <si>
    <t>Ⓑ計（⑤＋⑥）</t>
    <rPh sb="1" eb="2">
      <t>ケイ</t>
    </rPh>
    <phoneticPr fontId="37"/>
  </si>
  <si>
    <t>差引所得金額（Ⓐ－Ⓑ）</t>
    <rPh sb="0" eb="2">
      <t>サシヒキ</t>
    </rPh>
    <rPh sb="2" eb="4">
      <t>ショトク</t>
    </rPh>
    <rPh sb="4" eb="6">
      <t>キンガク</t>
    </rPh>
    <phoneticPr fontId="37"/>
  </si>
  <si>
    <t>Ⓒ専従者控除額</t>
    <rPh sb="1" eb="4">
      <t>センジュウシャ</t>
    </rPh>
    <rPh sb="4" eb="6">
      <t>コウジョ</t>
    </rPh>
    <rPh sb="6" eb="7">
      <t>ガク</t>
    </rPh>
    <phoneticPr fontId="37"/>
  </si>
  <si>
    <t>所得金額（Ⓐ－Ⓑ－Ⓒ）</t>
    <rPh sb="0" eb="2">
      <t>ショトク</t>
    </rPh>
    <rPh sb="2" eb="4">
      <t>キンガク</t>
    </rPh>
    <phoneticPr fontId="37"/>
  </si>
  <si>
    <t>⑥小計</t>
    <rPh sb="1" eb="3">
      <t>ショウケイ</t>
    </rPh>
    <phoneticPr fontId="37"/>
  </si>
  <si>
    <t>④</t>
    <phoneticPr fontId="37"/>
  </si>
  <si>
    <t>自家
消費</t>
    <rPh sb="0" eb="2">
      <t>ジカ</t>
    </rPh>
    <rPh sb="3" eb="5">
      <t>ショウヒ</t>
    </rPh>
    <phoneticPr fontId="37"/>
  </si>
  <si>
    <t>月計</t>
    <rPh sb="0" eb="2">
      <t>ゲッケイ</t>
    </rPh>
    <phoneticPr fontId="37"/>
  </si>
  <si>
    <t>権利金</t>
    <rPh sb="0" eb="3">
      <t>ケンリキン</t>
    </rPh>
    <phoneticPr fontId="37"/>
  </si>
  <si>
    <t>礼金</t>
    <rPh sb="0" eb="2">
      <t>レイキン</t>
    </rPh>
    <phoneticPr fontId="37"/>
  </si>
  <si>
    <t>計Ⓐ</t>
    <rPh sb="0" eb="1">
      <t>ケイ</t>
    </rPh>
    <phoneticPr fontId="37"/>
  </si>
  <si>
    <t>Ⓒ専従者控除</t>
    <rPh sb="1" eb="4">
      <t>センジュウシャ</t>
    </rPh>
    <rPh sb="4" eb="6">
      <t>コウジョ</t>
    </rPh>
    <phoneticPr fontId="37"/>
  </si>
  <si>
    <t>更新
料他</t>
    <rPh sb="0" eb="2">
      <t>コウシン</t>
    </rPh>
    <rPh sb="3" eb="4">
      <t>リョウ</t>
    </rPh>
    <rPh sb="4" eb="5">
      <t>ホカ</t>
    </rPh>
    <phoneticPr fontId="37"/>
  </si>
  <si>
    <t>円</t>
    <phoneticPr fontId="37"/>
  </si>
  <si>
    <t>Ⓑ小計</t>
    <rPh sb="1" eb="3">
      <t>ショウケイ</t>
    </rPh>
    <phoneticPr fontId="37"/>
  </si>
  <si>
    <t>受給期間</t>
    <phoneticPr fontId="37"/>
  </si>
  <si>
    <t>桐生市長</t>
    <phoneticPr fontId="37"/>
  </si>
  <si>
    <t>宛名番号</t>
    <rPh sb="0" eb="2">
      <t>アテナ</t>
    </rPh>
    <rPh sb="2" eb="4">
      <t>バンゴウ</t>
    </rPh>
    <phoneticPr fontId="37"/>
  </si>
  <si>
    <t>資料番号</t>
    <rPh sb="0" eb="2">
      <t>シリョウ</t>
    </rPh>
    <rPh sb="2" eb="4">
      <t>バンゴウ</t>
    </rPh>
    <phoneticPr fontId="37"/>
  </si>
  <si>
    <t>源泉徴収票より</t>
    <rPh sb="0" eb="2">
      <t>げんせん</t>
    </rPh>
    <rPh sb="2" eb="5">
      <t>ちょうしゅうひょう</t>
    </rPh>
    <phoneticPr fontId="2" type="noConversion"/>
  </si>
  <si>
    <t>事業</t>
    <rPh sb="0" eb="2">
      <t>ジギョウ</t>
    </rPh>
    <phoneticPr fontId="37"/>
  </si>
  <si>
    <t>総合
譲渡</t>
    <phoneticPr fontId="37"/>
  </si>
  <si>
    <t>同一生計配偶者(控除対象配偶者を除く。)</t>
    <phoneticPr fontId="2" type="noConversion"/>
  </si>
  <si>
    <t>配偶者の合計所得金額</t>
    <phoneticPr fontId="2" type="noConversion"/>
  </si>
  <si>
    <t>公的年金等</t>
    <phoneticPr fontId="2" type="noConversion"/>
  </si>
  <si>
    <t>収
入
金
額
等</t>
    <rPh sb="0" eb="1">
      <t>オサム</t>
    </rPh>
    <rPh sb="2" eb="3">
      <t>ニュウ</t>
    </rPh>
    <rPh sb="4" eb="5">
      <t>キン</t>
    </rPh>
    <rPh sb="6" eb="7">
      <t>ガク</t>
    </rPh>
    <rPh sb="8" eb="9">
      <t>トウ</t>
    </rPh>
    <phoneticPr fontId="37"/>
  </si>
  <si>
    <t>所
得
か
ら
差
し
引
か
れ
る
金
額</t>
    <rPh sb="0" eb="1">
      <t>ショ</t>
    </rPh>
    <rPh sb="2" eb="3">
      <t>ウ</t>
    </rPh>
    <rPh sb="8" eb="9">
      <t>サ</t>
    </rPh>
    <rPh sb="12" eb="13">
      <t>ヒ</t>
    </rPh>
    <rPh sb="20" eb="21">
      <t>キン</t>
    </rPh>
    <rPh sb="22" eb="23">
      <t>ガク</t>
    </rPh>
    <phoneticPr fontId="37"/>
  </si>
  <si>
    <t>自分で納付（普通徴収）</t>
    <phoneticPr fontId="37"/>
  </si>
  <si>
    <t>生年
月日</t>
    <phoneticPr fontId="37"/>
  </si>
  <si>
    <t>同居・別居の
区分</t>
    <phoneticPr fontId="37"/>
  </si>
  <si>
    <t>円</t>
    <phoneticPr fontId="37"/>
  </si>
  <si>
    <t>小規模企業共済掛金、確定拠出年金掛金及び心身障害扶養共済掛金の合計額</t>
    <phoneticPr fontId="37"/>
  </si>
  <si>
    <t>差引損失額のうち災害関連支出</t>
    <phoneticPr fontId="37"/>
  </si>
  <si>
    <t xml:space="preserve">   年    月    日</t>
    <phoneticPr fontId="37"/>
  </si>
  <si>
    <t>（２）</t>
    <phoneticPr fontId="37"/>
  </si>
  <si>
    <t>下記の人から扶養されていた、援助（仕送り）を受けていた。</t>
    <phoneticPr fontId="37"/>
  </si>
  <si>
    <t>（１）</t>
    <phoneticPr fontId="37"/>
  </si>
  <si>
    <t>あなた
との続柄</t>
    <phoneticPr fontId="37"/>
  </si>
  <si>
    <t>フリガナ</t>
    <phoneticPr fontId="2" type="noConversion"/>
  </si>
  <si>
    <t>特別障害に
該当する場合</t>
    <rPh sb="0" eb="2">
      <t>トクベツ</t>
    </rPh>
    <rPh sb="2" eb="4">
      <t>ショウガイ</t>
    </rPh>
    <rPh sb="6" eb="8">
      <t>ガイトウ</t>
    </rPh>
    <rPh sb="10" eb="12">
      <t>バアイ</t>
    </rPh>
    <phoneticPr fontId="37"/>
  </si>
  <si>
    <t>生年
月日</t>
    <rPh sb="0" eb="2">
      <t>セイネン</t>
    </rPh>
    <rPh sb="3" eb="5">
      <t>ガッピ</t>
    </rPh>
    <phoneticPr fontId="37"/>
  </si>
  <si>
    <t>フリガナ</t>
    <phoneticPr fontId="2" type="noConversion"/>
  </si>
  <si>
    <t>必要経費</t>
    <phoneticPr fontId="37"/>
  </si>
  <si>
    <t>生年
月日</t>
    <phoneticPr fontId="37"/>
  </si>
  <si>
    <t>月計</t>
    <rPh sb="0" eb="1">
      <t>ゲツ</t>
    </rPh>
    <rPh sb="1" eb="2">
      <t>ケイ</t>
    </rPh>
    <phoneticPr fontId="37"/>
  </si>
  <si>
    <t>収入金額</t>
    <rPh sb="0" eb="2">
      <t>シュウニュウ</t>
    </rPh>
    <phoneticPr fontId="37"/>
  </si>
  <si>
    <t>生年月日1</t>
    <rPh sb="0" eb="2">
      <t>セイネン</t>
    </rPh>
    <rPh sb="2" eb="4">
      <t>ガッピ</t>
    </rPh>
    <phoneticPr fontId="37"/>
  </si>
  <si>
    <t>生年月日2</t>
    <rPh sb="0" eb="2">
      <t>せいねん</t>
    </rPh>
    <rPh sb="2" eb="4">
      <t>がっぴ</t>
    </rPh>
    <phoneticPr fontId="2" type="noConversion"/>
  </si>
  <si>
    <r>
      <rPr>
        <b/>
        <sz val="11"/>
        <rFont val="Meiryo UI"/>
        <family val="3"/>
        <charset val="128"/>
      </rPr>
      <t>営業収入</t>
    </r>
    <r>
      <rPr>
        <sz val="11"/>
        <rFont val="Meiryo UI"/>
        <family val="3"/>
        <charset val="128"/>
      </rPr>
      <t>がある人は収支内訳書から収入金額及び所得金額を入力してください。また、別で収支内訳書を作成して提出してください。</t>
    </r>
    <rPh sb="0" eb="2">
      <t>エイギョウ</t>
    </rPh>
    <rPh sb="2" eb="4">
      <t>シュウニュウ</t>
    </rPh>
    <rPh sb="7" eb="8">
      <t>ヒト</t>
    </rPh>
    <rPh sb="9" eb="11">
      <t>シュウシ</t>
    </rPh>
    <rPh sb="11" eb="14">
      <t>ウチワケショ</t>
    </rPh>
    <rPh sb="16" eb="18">
      <t>シュウニュウ</t>
    </rPh>
    <rPh sb="18" eb="20">
      <t>キンガク</t>
    </rPh>
    <rPh sb="20" eb="21">
      <t>オヨ</t>
    </rPh>
    <rPh sb="22" eb="24">
      <t>ショトク</t>
    </rPh>
    <rPh sb="24" eb="26">
      <t>キンガク</t>
    </rPh>
    <rPh sb="27" eb="29">
      <t>ニュウリョク</t>
    </rPh>
    <rPh sb="39" eb="40">
      <t>ベツ</t>
    </rPh>
    <rPh sb="41" eb="43">
      <t>シュウシ</t>
    </rPh>
    <rPh sb="43" eb="46">
      <t>ウチワケショ</t>
    </rPh>
    <rPh sb="47" eb="49">
      <t>サクセイ</t>
    </rPh>
    <rPh sb="51" eb="53">
      <t>テイシュツ</t>
    </rPh>
    <phoneticPr fontId="37"/>
  </si>
  <si>
    <r>
      <rPr>
        <b/>
        <sz val="11"/>
        <rFont val="Meiryo UI"/>
        <family val="3"/>
        <charset val="128"/>
      </rPr>
      <t>農業収入</t>
    </r>
    <r>
      <rPr>
        <sz val="11"/>
        <rFont val="Meiryo UI"/>
        <family val="3"/>
        <charset val="128"/>
      </rPr>
      <t>がある人は収支内訳書から収入金額及び所得金額を入力してください。また、別で収支内訳書を作成して提出してください。</t>
    </r>
    <rPh sb="0" eb="2">
      <t>ノウギョウ</t>
    </rPh>
    <rPh sb="2" eb="4">
      <t>シュウニュウ</t>
    </rPh>
    <rPh sb="7" eb="8">
      <t>ヒト</t>
    </rPh>
    <rPh sb="9" eb="11">
      <t>シュウシ</t>
    </rPh>
    <rPh sb="11" eb="14">
      <t>ウチワケショ</t>
    </rPh>
    <rPh sb="16" eb="18">
      <t>シュウニュウ</t>
    </rPh>
    <rPh sb="18" eb="20">
      <t>キンガク</t>
    </rPh>
    <rPh sb="20" eb="21">
      <t>オヨ</t>
    </rPh>
    <rPh sb="22" eb="24">
      <t>ショトク</t>
    </rPh>
    <rPh sb="24" eb="26">
      <t>キンガク</t>
    </rPh>
    <rPh sb="27" eb="29">
      <t>ニュウリョク</t>
    </rPh>
    <phoneticPr fontId="37"/>
  </si>
  <si>
    <r>
      <rPr>
        <b/>
        <sz val="11"/>
        <rFont val="Meiryo UI"/>
        <family val="3"/>
        <charset val="128"/>
      </rPr>
      <t>不動産収入</t>
    </r>
    <r>
      <rPr>
        <sz val="11"/>
        <rFont val="Meiryo UI"/>
        <family val="3"/>
        <charset val="128"/>
      </rPr>
      <t>がある人は収支内訳書から収入金額及び所得金額を入力してください。また、別で収支内訳書を作成して提出してください。</t>
    </r>
    <rPh sb="0" eb="3">
      <t>フドウサン</t>
    </rPh>
    <rPh sb="3" eb="5">
      <t>シュウニュウ</t>
    </rPh>
    <rPh sb="8" eb="9">
      <t>ヒト</t>
    </rPh>
    <rPh sb="10" eb="12">
      <t>シュウシ</t>
    </rPh>
    <rPh sb="12" eb="15">
      <t>ウチワケショ</t>
    </rPh>
    <rPh sb="17" eb="19">
      <t>シュウニュウ</t>
    </rPh>
    <rPh sb="19" eb="21">
      <t>キンガク</t>
    </rPh>
    <rPh sb="21" eb="22">
      <t>オヨ</t>
    </rPh>
    <rPh sb="23" eb="25">
      <t>ショトク</t>
    </rPh>
    <rPh sb="25" eb="27">
      <t>キンガク</t>
    </rPh>
    <rPh sb="28" eb="30">
      <t>ニュウリョク</t>
    </rPh>
    <phoneticPr fontId="37"/>
  </si>
  <si>
    <r>
      <rPr>
        <b/>
        <sz val="11"/>
        <rFont val="Meiryo UI"/>
        <family val="3"/>
        <charset val="128"/>
      </rPr>
      <t>利子所得</t>
    </r>
    <r>
      <rPr>
        <sz val="11"/>
        <rFont val="Meiryo UI"/>
        <family val="3"/>
        <charset val="128"/>
      </rPr>
      <t>がある人は収入（=所得）を入力してください。</t>
    </r>
    <rPh sb="0" eb="2">
      <t>リシ</t>
    </rPh>
    <rPh sb="2" eb="4">
      <t>ショトク</t>
    </rPh>
    <rPh sb="7" eb="8">
      <t>ヒト</t>
    </rPh>
    <rPh sb="9" eb="11">
      <t>シュウニュウ</t>
    </rPh>
    <rPh sb="13" eb="15">
      <t>ショトク</t>
    </rPh>
    <rPh sb="17" eb="19">
      <t>ニュウリョク</t>
    </rPh>
    <phoneticPr fontId="37"/>
  </si>
  <si>
    <r>
      <t>公的年金以外の雑所得がある人のうち</t>
    </r>
    <r>
      <rPr>
        <b/>
        <sz val="11"/>
        <rFont val="Meiryo UI"/>
        <family val="3"/>
        <charset val="128"/>
      </rPr>
      <t>業務分</t>
    </r>
    <r>
      <rPr>
        <sz val="11"/>
        <rFont val="Meiryo UI"/>
        <family val="3"/>
        <charset val="128"/>
      </rPr>
      <t>の収入金額及び所得金額を入力してください。</t>
    </r>
    <rPh sb="0" eb="2">
      <t>コウテキ</t>
    </rPh>
    <rPh sb="2" eb="4">
      <t>ネンキン</t>
    </rPh>
    <rPh sb="4" eb="6">
      <t>イガイ</t>
    </rPh>
    <rPh sb="7" eb="10">
      <t>ザツショトク</t>
    </rPh>
    <rPh sb="13" eb="14">
      <t>ヒト</t>
    </rPh>
    <rPh sb="17" eb="19">
      <t>ギョウム</t>
    </rPh>
    <rPh sb="19" eb="20">
      <t>ブン</t>
    </rPh>
    <rPh sb="21" eb="23">
      <t>シュウニュウ</t>
    </rPh>
    <rPh sb="23" eb="25">
      <t>キンガク</t>
    </rPh>
    <rPh sb="25" eb="26">
      <t>オヨ</t>
    </rPh>
    <rPh sb="27" eb="29">
      <t>ショトク</t>
    </rPh>
    <rPh sb="29" eb="31">
      <t>キンガク</t>
    </rPh>
    <rPh sb="32" eb="34">
      <t>ニュウリョク</t>
    </rPh>
    <phoneticPr fontId="37"/>
  </si>
  <si>
    <r>
      <t>公的年金以外の雑所得がある人のうち</t>
    </r>
    <r>
      <rPr>
        <b/>
        <sz val="11"/>
        <rFont val="Meiryo UI"/>
        <family val="3"/>
        <charset val="128"/>
      </rPr>
      <t>公的年金及び業務に該当しない雑所得</t>
    </r>
    <r>
      <rPr>
        <sz val="11"/>
        <rFont val="Meiryo UI"/>
        <family val="3"/>
        <charset val="128"/>
      </rPr>
      <t>の収入金額及び所得金額を入力してください。</t>
    </r>
    <rPh sb="0" eb="2">
      <t>コウテキ</t>
    </rPh>
    <rPh sb="2" eb="4">
      <t>ネンキン</t>
    </rPh>
    <rPh sb="4" eb="6">
      <t>イガイ</t>
    </rPh>
    <rPh sb="7" eb="10">
      <t>ザツショトク</t>
    </rPh>
    <rPh sb="13" eb="14">
      <t>ヒト</t>
    </rPh>
    <rPh sb="17" eb="19">
      <t>コウテキ</t>
    </rPh>
    <rPh sb="19" eb="21">
      <t>ネンキン</t>
    </rPh>
    <rPh sb="21" eb="22">
      <t>オヨ</t>
    </rPh>
    <rPh sb="23" eb="25">
      <t>ギョウム</t>
    </rPh>
    <rPh sb="26" eb="28">
      <t>ガイトウ</t>
    </rPh>
    <rPh sb="31" eb="34">
      <t>ザツショトク</t>
    </rPh>
    <rPh sb="35" eb="37">
      <t>シュウニュウ</t>
    </rPh>
    <rPh sb="37" eb="39">
      <t>キンガク</t>
    </rPh>
    <rPh sb="39" eb="40">
      <t>オヨ</t>
    </rPh>
    <rPh sb="41" eb="43">
      <t>ショトク</t>
    </rPh>
    <rPh sb="43" eb="45">
      <t>キンガク</t>
    </rPh>
    <rPh sb="46" eb="48">
      <t>ニュウリョク</t>
    </rPh>
    <phoneticPr fontId="37"/>
  </si>
  <si>
    <r>
      <t>給与源泉徴収票から</t>
    </r>
    <r>
      <rPr>
        <b/>
        <sz val="11"/>
        <rFont val="Meiryo UI"/>
        <family val="3"/>
        <charset val="128"/>
      </rPr>
      <t>支払金額</t>
    </r>
    <r>
      <rPr>
        <sz val="11"/>
        <rFont val="Meiryo UI"/>
        <family val="3"/>
        <charset val="128"/>
      </rPr>
      <t>をそれぞれ入力してください。また、専従者給与がある人は白色専従者給与もしくは青色専従者給与に金額を入力してください。</t>
    </r>
    <rPh sb="0" eb="2">
      <t>キュウヨ</t>
    </rPh>
    <rPh sb="2" eb="4">
      <t>ゲンセン</t>
    </rPh>
    <rPh sb="4" eb="7">
      <t>チョウシュウヒョウ</t>
    </rPh>
    <rPh sb="9" eb="11">
      <t>シハライ</t>
    </rPh>
    <rPh sb="11" eb="13">
      <t>キンガク</t>
    </rPh>
    <rPh sb="18" eb="20">
      <t>ニュウリョク</t>
    </rPh>
    <rPh sb="30" eb="33">
      <t>センジュウシャ</t>
    </rPh>
    <rPh sb="33" eb="35">
      <t>キュウヨ</t>
    </rPh>
    <rPh sb="38" eb="39">
      <t>ヒト</t>
    </rPh>
    <rPh sb="40" eb="42">
      <t>シロイロ</t>
    </rPh>
    <rPh sb="42" eb="45">
      <t>センジュウシャ</t>
    </rPh>
    <rPh sb="45" eb="47">
      <t>キュウヨ</t>
    </rPh>
    <rPh sb="51" eb="53">
      <t>アオイロ</t>
    </rPh>
    <rPh sb="53" eb="56">
      <t>センジュウシャ</t>
    </rPh>
    <rPh sb="56" eb="58">
      <t>キュウヨ</t>
    </rPh>
    <rPh sb="59" eb="61">
      <t>キンガク</t>
    </rPh>
    <rPh sb="62" eb="64">
      <t>ニュウリョク</t>
    </rPh>
    <phoneticPr fontId="37"/>
  </si>
  <si>
    <r>
      <rPr>
        <b/>
        <sz val="11"/>
        <rFont val="Meiryo UI"/>
        <family val="3"/>
        <charset val="128"/>
      </rPr>
      <t>給与収入</t>
    </r>
    <r>
      <rPr>
        <sz val="11"/>
        <rFont val="Meiryo UI"/>
        <family val="3"/>
        <charset val="128"/>
      </rPr>
      <t>がある人</t>
    </r>
    <rPh sb="0" eb="2">
      <t>キュウヨ</t>
    </rPh>
    <rPh sb="2" eb="4">
      <t>シュウニュウ</t>
    </rPh>
    <rPh sb="7" eb="8">
      <t>ヒト</t>
    </rPh>
    <phoneticPr fontId="37"/>
  </si>
  <si>
    <r>
      <rPr>
        <b/>
        <sz val="11"/>
        <rFont val="Meiryo UI"/>
        <family val="3"/>
        <charset val="128"/>
      </rPr>
      <t>公的年金収入</t>
    </r>
    <r>
      <rPr>
        <sz val="11"/>
        <rFont val="Meiryo UI"/>
        <family val="3"/>
        <charset val="128"/>
      </rPr>
      <t>がある人</t>
    </r>
    <rPh sb="0" eb="2">
      <t>コウテキ</t>
    </rPh>
    <rPh sb="2" eb="4">
      <t>ネンキン</t>
    </rPh>
    <rPh sb="4" eb="6">
      <t>シュウニュウ</t>
    </rPh>
    <rPh sb="9" eb="10">
      <t>ヒト</t>
    </rPh>
    <phoneticPr fontId="37"/>
  </si>
  <si>
    <r>
      <t>公的年金の源泉徴収票から</t>
    </r>
    <r>
      <rPr>
        <b/>
        <sz val="11"/>
        <rFont val="Meiryo UI"/>
        <family val="3"/>
        <charset val="128"/>
      </rPr>
      <t>支払金額</t>
    </r>
    <r>
      <rPr>
        <sz val="11"/>
        <rFont val="Meiryo UI"/>
        <family val="3"/>
        <charset val="128"/>
      </rPr>
      <t>をそれぞれ入力してください。毎年1月中旬以降に御自宅等に公的年金の源泉徴収票が届きます。</t>
    </r>
    <rPh sb="0" eb="2">
      <t>コウテキ</t>
    </rPh>
    <rPh sb="2" eb="4">
      <t>ネンキン</t>
    </rPh>
    <rPh sb="5" eb="7">
      <t>ゲンセン</t>
    </rPh>
    <rPh sb="7" eb="10">
      <t>チョウシュウヒョウ</t>
    </rPh>
    <rPh sb="12" eb="14">
      <t>シハライ</t>
    </rPh>
    <rPh sb="14" eb="16">
      <t>キンガク</t>
    </rPh>
    <rPh sb="21" eb="23">
      <t>ニュウリョク</t>
    </rPh>
    <rPh sb="30" eb="32">
      <t>マイトシ</t>
    </rPh>
    <rPh sb="33" eb="34">
      <t>ガツ</t>
    </rPh>
    <rPh sb="34" eb="36">
      <t>チュウジュン</t>
    </rPh>
    <rPh sb="36" eb="38">
      <t>イコウ</t>
    </rPh>
    <rPh sb="39" eb="42">
      <t>ゴジタク</t>
    </rPh>
    <rPh sb="42" eb="43">
      <t>トウ</t>
    </rPh>
    <rPh sb="44" eb="46">
      <t>コウテキ</t>
    </rPh>
    <rPh sb="46" eb="48">
      <t>ネンキン</t>
    </rPh>
    <rPh sb="49" eb="51">
      <t>ゲンセン</t>
    </rPh>
    <rPh sb="51" eb="54">
      <t>チョウシュウヒョウ</t>
    </rPh>
    <rPh sb="55" eb="56">
      <t>トド</t>
    </rPh>
    <phoneticPr fontId="37"/>
  </si>
  <si>
    <t>1月</t>
    <rPh sb="1" eb="2">
      <t>ガツ</t>
    </rPh>
    <phoneticPr fontId="37"/>
  </si>
  <si>
    <t>2月</t>
    <phoneticPr fontId="37"/>
  </si>
  <si>
    <t>3月</t>
    <phoneticPr fontId="37"/>
  </si>
  <si>
    <t>4月</t>
    <phoneticPr fontId="37"/>
  </si>
  <si>
    <t>5月</t>
    <phoneticPr fontId="37"/>
  </si>
  <si>
    <t>6月</t>
    <phoneticPr fontId="37"/>
  </si>
  <si>
    <t>7月</t>
    <phoneticPr fontId="37"/>
  </si>
  <si>
    <t>8月</t>
    <phoneticPr fontId="37"/>
  </si>
  <si>
    <t>9月</t>
    <phoneticPr fontId="37"/>
  </si>
  <si>
    <t>10月</t>
    <phoneticPr fontId="37"/>
  </si>
  <si>
    <t>11月</t>
    <phoneticPr fontId="37"/>
  </si>
  <si>
    <t>12月</t>
    <phoneticPr fontId="37"/>
  </si>
  <si>
    <t>控除額</t>
    <rPh sb="0" eb="2">
      <t>コウジョ</t>
    </rPh>
    <rPh sb="2" eb="3">
      <t>ガク</t>
    </rPh>
    <phoneticPr fontId="37"/>
  </si>
  <si>
    <t>最終控除額</t>
    <rPh sb="0" eb="2">
      <t>さいしゅう</t>
    </rPh>
    <rPh sb="2" eb="4">
      <t>こうじょ</t>
    </rPh>
    <rPh sb="4" eb="5">
      <t>がく</t>
    </rPh>
    <phoneticPr fontId="2" type="noConversion"/>
  </si>
  <si>
    <t>種類</t>
    <rPh sb="0" eb="2">
      <t>シュルイ</t>
    </rPh>
    <phoneticPr fontId="37"/>
  </si>
  <si>
    <t>支払金額</t>
    <rPh sb="0" eb="2">
      <t>シハライ</t>
    </rPh>
    <rPh sb="2" eb="4">
      <t>キンガク</t>
    </rPh>
    <phoneticPr fontId="37"/>
  </si>
  <si>
    <t>生命　新+旧 控除額</t>
    <rPh sb="0" eb="2">
      <t>せいめい</t>
    </rPh>
    <rPh sb="3" eb="4">
      <t>しん</t>
    </rPh>
    <rPh sb="5" eb="6">
      <t>きゅう</t>
    </rPh>
    <rPh sb="7" eb="9">
      <t>こうじょ</t>
    </rPh>
    <rPh sb="9" eb="10">
      <t>がく</t>
    </rPh>
    <phoneticPr fontId="2" type="noConversion"/>
  </si>
  <si>
    <t>年金　新+旧　控除額</t>
    <rPh sb="0" eb="2">
      <t>ねんきん</t>
    </rPh>
    <rPh sb="3" eb="4">
      <t>しん</t>
    </rPh>
    <rPh sb="5" eb="6">
      <t>きゅう</t>
    </rPh>
    <rPh sb="7" eb="9">
      <t>こうじょ</t>
    </rPh>
    <rPh sb="9" eb="10">
      <t>がく</t>
    </rPh>
    <phoneticPr fontId="2" type="noConversion"/>
  </si>
  <si>
    <t>地震のみ支払金額</t>
    <rPh sb="0" eb="2">
      <t>ジシン</t>
    </rPh>
    <rPh sb="4" eb="6">
      <t>シハライ</t>
    </rPh>
    <rPh sb="6" eb="8">
      <t>キンガク</t>
    </rPh>
    <phoneticPr fontId="37"/>
  </si>
  <si>
    <t>旧長期のみ支払金額</t>
    <rPh sb="0" eb="1">
      <t>キュウ</t>
    </rPh>
    <rPh sb="1" eb="3">
      <t>チョウキ</t>
    </rPh>
    <rPh sb="5" eb="7">
      <t>シハライ</t>
    </rPh>
    <rPh sb="7" eb="9">
      <t>キンガク</t>
    </rPh>
    <phoneticPr fontId="37"/>
  </si>
  <si>
    <t>配偶者合計所得金額</t>
    <rPh sb="0" eb="3">
      <t>ハイグウシャ</t>
    </rPh>
    <rPh sb="3" eb="5">
      <t>ゴウケイ</t>
    </rPh>
    <rPh sb="5" eb="7">
      <t>ショトク</t>
    </rPh>
    <rPh sb="7" eb="9">
      <t>キンガク</t>
    </rPh>
    <phoneticPr fontId="37"/>
  </si>
  <si>
    <t>同居／別居</t>
    <rPh sb="0" eb="2">
      <t>ドウキョ</t>
    </rPh>
    <rPh sb="3" eb="5">
      <t>ベッキョ</t>
    </rPh>
    <phoneticPr fontId="37"/>
  </si>
  <si>
    <t>医療費支払額</t>
    <rPh sb="0" eb="3">
      <t>イリョウヒ</t>
    </rPh>
    <rPh sb="3" eb="5">
      <t>シハライ</t>
    </rPh>
    <rPh sb="5" eb="6">
      <t>ガク</t>
    </rPh>
    <phoneticPr fontId="37"/>
  </si>
  <si>
    <t>医療費補てん額</t>
    <rPh sb="0" eb="3">
      <t>イリョウヒ</t>
    </rPh>
    <rPh sb="3" eb="4">
      <t>ホ</t>
    </rPh>
    <rPh sb="6" eb="7">
      <t>ガク</t>
    </rPh>
    <phoneticPr fontId="37"/>
  </si>
  <si>
    <t>セルフメディケーション支払額</t>
    <rPh sb="11" eb="13">
      <t>シハライ</t>
    </rPh>
    <rPh sb="13" eb="14">
      <t>ガク</t>
    </rPh>
    <phoneticPr fontId="37"/>
  </si>
  <si>
    <t>セルフ補てん額</t>
    <rPh sb="3" eb="4">
      <t>ホ</t>
    </rPh>
    <rPh sb="6" eb="7">
      <t>ガク</t>
    </rPh>
    <phoneticPr fontId="37"/>
  </si>
  <si>
    <t>公的年金収入</t>
    <rPh sb="0" eb="2">
      <t>コウテキ</t>
    </rPh>
    <rPh sb="2" eb="4">
      <t>ネンキン</t>
    </rPh>
    <rPh sb="4" eb="6">
      <t>シュウニュウ</t>
    </rPh>
    <phoneticPr fontId="37"/>
  </si>
  <si>
    <t>その他</t>
    <rPh sb="2" eb="3">
      <t>タ</t>
    </rPh>
    <phoneticPr fontId="37"/>
  </si>
  <si>
    <t>勤労学生控除</t>
    <rPh sb="0" eb="2">
      <t>キンロウ</t>
    </rPh>
    <rPh sb="2" eb="4">
      <t>ガクセイ</t>
    </rPh>
    <rPh sb="4" eb="6">
      <t>コウジョ</t>
    </rPh>
    <phoneticPr fontId="37"/>
  </si>
  <si>
    <t>初めに</t>
    <rPh sb="0" eb="1">
      <t>ハジ</t>
    </rPh>
    <phoneticPr fontId="37"/>
  </si>
  <si>
    <t>全シート共通</t>
    <rPh sb="0" eb="1">
      <t>ゼン</t>
    </rPh>
    <rPh sb="4" eb="6">
      <t>キョウツウ</t>
    </rPh>
    <phoneticPr fontId="37"/>
  </si>
  <si>
    <t>印刷用のシートについてフォントのベースは、MS明朝、項目のみMSゴシック</t>
    <rPh sb="0" eb="3">
      <t>インサツヨウ</t>
    </rPh>
    <rPh sb="23" eb="25">
      <t>ミンチョウ</t>
    </rPh>
    <rPh sb="26" eb="28">
      <t>コウモク</t>
    </rPh>
    <phoneticPr fontId="37"/>
  </si>
  <si>
    <t>入力できる箇所はこの色</t>
    <rPh sb="0" eb="2">
      <t>ニュウリョク</t>
    </rPh>
    <rPh sb="5" eb="7">
      <t>カショ</t>
    </rPh>
    <rPh sb="10" eb="11">
      <t>イロ</t>
    </rPh>
    <phoneticPr fontId="37"/>
  </si>
  <si>
    <t>賦課期日住所</t>
    <phoneticPr fontId="37"/>
  </si>
  <si>
    <t>電話番号</t>
    <phoneticPr fontId="37"/>
  </si>
  <si>
    <t>元号または西暦</t>
    <rPh sb="5" eb="7">
      <t>セイレキ</t>
    </rPh>
    <phoneticPr fontId="37"/>
  </si>
  <si>
    <t>年</t>
    <phoneticPr fontId="37"/>
  </si>
  <si>
    <t>月</t>
    <phoneticPr fontId="37"/>
  </si>
  <si>
    <t>日</t>
    <phoneticPr fontId="37"/>
  </si>
  <si>
    <t>職業業種</t>
    <phoneticPr fontId="37"/>
  </si>
  <si>
    <t>屋号</t>
    <phoneticPr fontId="37"/>
  </si>
  <si>
    <t>入力しなくても問題なし、どんな文字でも入力可。</t>
    <phoneticPr fontId="37"/>
  </si>
  <si>
    <t>リストから選択。リスト以外は拒絶。</t>
    <phoneticPr fontId="37"/>
  </si>
  <si>
    <t>4桁までの数字（3000未満）のみ入力可、それ以外は拒絶。「元」も1として入力してもらう。</t>
    <phoneticPr fontId="37"/>
  </si>
  <si>
    <t>1～12のみ、それ以外は拒絶。</t>
    <phoneticPr fontId="37"/>
  </si>
  <si>
    <t>1～31のみ、それ以外は拒絶。存在しない日（2月31日等）は、エラーとして公的年金の所得が65歳未満基準で計算される。</t>
    <phoneticPr fontId="37"/>
  </si>
  <si>
    <t>入力できる箇所以外は入力不可にする</t>
    <rPh sb="0" eb="2">
      <t>ニュウリョク</t>
    </rPh>
    <rPh sb="5" eb="7">
      <t>カショ</t>
    </rPh>
    <rPh sb="7" eb="9">
      <t>イガイ</t>
    </rPh>
    <rPh sb="10" eb="12">
      <t>ニュウリョク</t>
    </rPh>
    <rPh sb="12" eb="14">
      <t>フカ</t>
    </rPh>
    <phoneticPr fontId="37"/>
  </si>
  <si>
    <t>収入がない方</t>
  </si>
  <si>
    <t>選択リストのみ、入力しなくても問題なし、</t>
    <phoneticPr fontId="37"/>
  </si>
  <si>
    <t>生活費</t>
    <phoneticPr fontId="37"/>
  </si>
  <si>
    <t>その他</t>
    <phoneticPr fontId="37"/>
  </si>
  <si>
    <t>受給期間</t>
    <phoneticPr fontId="37"/>
  </si>
  <si>
    <t>※</t>
    <phoneticPr fontId="37"/>
  </si>
  <si>
    <r>
      <t>専従者給与とは、生計を一にする親族から支払われる給与です。</t>
    </r>
    <r>
      <rPr>
        <b/>
        <sz val="11"/>
        <rFont val="Meiryo UI"/>
        <family val="3"/>
        <charset val="128"/>
      </rPr>
      <t>親族以外から支払われた給与は一般</t>
    </r>
    <r>
      <rPr>
        <sz val="11"/>
        <rFont val="Meiryo UI"/>
        <family val="3"/>
        <charset val="128"/>
      </rPr>
      <t>に入力してください。親族から支払われた給与はその親族にいずれに該当するか確認してください。</t>
    </r>
    <rPh sb="0" eb="3">
      <t>センジュウシャ</t>
    </rPh>
    <rPh sb="3" eb="5">
      <t>キュウヨ</t>
    </rPh>
    <rPh sb="8" eb="10">
      <t>セイケイ</t>
    </rPh>
    <rPh sb="11" eb="12">
      <t>イツ</t>
    </rPh>
    <rPh sb="15" eb="17">
      <t>シンゾク</t>
    </rPh>
    <rPh sb="19" eb="21">
      <t>シハラ</t>
    </rPh>
    <rPh sb="24" eb="26">
      <t>キュウヨ</t>
    </rPh>
    <rPh sb="29" eb="31">
      <t>シンゾク</t>
    </rPh>
    <rPh sb="31" eb="33">
      <t>イガイ</t>
    </rPh>
    <rPh sb="35" eb="37">
      <t>シハラ</t>
    </rPh>
    <rPh sb="40" eb="42">
      <t>キュウヨ</t>
    </rPh>
    <rPh sb="43" eb="45">
      <t>イッパン</t>
    </rPh>
    <rPh sb="46" eb="48">
      <t>ニュウリョク</t>
    </rPh>
    <rPh sb="55" eb="57">
      <t>シンゾク</t>
    </rPh>
    <rPh sb="59" eb="61">
      <t>シハラ</t>
    </rPh>
    <rPh sb="64" eb="66">
      <t>キュウヨ</t>
    </rPh>
    <rPh sb="69" eb="71">
      <t>シンゾク</t>
    </rPh>
    <rPh sb="76" eb="78">
      <t>ガイトウ</t>
    </rPh>
    <rPh sb="81" eb="83">
      <t>カクニン</t>
    </rPh>
    <phoneticPr fontId="37"/>
  </si>
  <si>
    <t>給与・年金</t>
    <rPh sb="0" eb="2">
      <t>キュウヨ</t>
    </rPh>
    <rPh sb="3" eb="5">
      <t>ネンキン</t>
    </rPh>
    <phoneticPr fontId="37"/>
  </si>
  <si>
    <t>入力しなくても問題なし、どんな文字でも入力可。</t>
    <phoneticPr fontId="37"/>
  </si>
  <si>
    <t>源泉徴収票あり　支払金額</t>
    <phoneticPr fontId="37"/>
  </si>
  <si>
    <t>金額</t>
    <phoneticPr fontId="37"/>
  </si>
  <si>
    <t>0～99億円までの整数のみ、「〇万円」等の入力は不可。</t>
    <phoneticPr fontId="37"/>
  </si>
  <si>
    <t>0～99億円までの整数のみ、「40万円」等の入力は不可。</t>
    <phoneticPr fontId="37"/>
  </si>
  <si>
    <t>D7-D11,H7,H12</t>
    <phoneticPr fontId="37"/>
  </si>
  <si>
    <t>0～99億円までの整数のみ、「〇万円」等の入力は不可。相互に干渉なし。</t>
    <rPh sb="27" eb="29">
      <t>ソウゴ</t>
    </rPh>
    <rPh sb="30" eb="32">
      <t>カンショウ</t>
    </rPh>
    <phoneticPr fontId="37"/>
  </si>
  <si>
    <t>D16,H16,L16</t>
    <phoneticPr fontId="37"/>
  </si>
  <si>
    <t>D-P18</t>
    <phoneticPr fontId="37"/>
  </si>
  <si>
    <t>B20,C20,C21,D22</t>
    <phoneticPr fontId="37"/>
  </si>
  <si>
    <t>所得金額調整控除</t>
    <rPh sb="0" eb="2">
      <t>ショトク</t>
    </rPh>
    <rPh sb="2" eb="4">
      <t>キンガク</t>
    </rPh>
    <rPh sb="4" eb="6">
      <t>チョウセイ</t>
    </rPh>
    <rPh sb="6" eb="8">
      <t>コウジョ</t>
    </rPh>
    <phoneticPr fontId="37"/>
  </si>
  <si>
    <t>給与年金シートの「D12+H7+H12+Q18」が850万円超のときに所得金額調整控除に関する事項が表示されます。</t>
    <rPh sb="0" eb="2">
      <t>キュウヨ</t>
    </rPh>
    <rPh sb="2" eb="4">
      <t>ネンキン</t>
    </rPh>
    <rPh sb="28" eb="30">
      <t>マンエン</t>
    </rPh>
    <rPh sb="30" eb="31">
      <t>チョウ</t>
    </rPh>
    <rPh sb="35" eb="37">
      <t>ショトク</t>
    </rPh>
    <rPh sb="37" eb="39">
      <t>キンガク</t>
    </rPh>
    <rPh sb="39" eb="41">
      <t>チョウセイ</t>
    </rPh>
    <rPh sb="41" eb="43">
      <t>コウジョ</t>
    </rPh>
    <rPh sb="44" eb="45">
      <t>カン</t>
    </rPh>
    <rPh sb="47" eb="49">
      <t>ジコウ</t>
    </rPh>
    <rPh sb="50" eb="52">
      <t>ヒョウジ</t>
    </rPh>
    <phoneticPr fontId="37"/>
  </si>
  <si>
    <t>C22</t>
    <phoneticPr fontId="37"/>
  </si>
  <si>
    <t>■とすることで所得金額調整控除の申告意思を確認。850万円以下でも選択することは可能。実際の控除額計算式には給与収入額が850万円超であることを条件にしているので、850万円以下で■としても給与所得金額に影響はない。</t>
    <rPh sb="7" eb="9">
      <t>ショトク</t>
    </rPh>
    <rPh sb="9" eb="11">
      <t>キンガク</t>
    </rPh>
    <rPh sb="11" eb="13">
      <t>チョウセイ</t>
    </rPh>
    <rPh sb="13" eb="15">
      <t>コウジョ</t>
    </rPh>
    <rPh sb="16" eb="18">
      <t>シンコク</t>
    </rPh>
    <rPh sb="18" eb="20">
      <t>イシ</t>
    </rPh>
    <rPh sb="21" eb="23">
      <t>カクニン</t>
    </rPh>
    <rPh sb="27" eb="29">
      <t>マンエン</t>
    </rPh>
    <rPh sb="29" eb="31">
      <t>イカ</t>
    </rPh>
    <rPh sb="33" eb="35">
      <t>センタク</t>
    </rPh>
    <rPh sb="40" eb="42">
      <t>カノウ</t>
    </rPh>
    <rPh sb="43" eb="45">
      <t>ジッサイ</t>
    </rPh>
    <rPh sb="46" eb="48">
      <t>コウジョ</t>
    </rPh>
    <rPh sb="48" eb="49">
      <t>ガク</t>
    </rPh>
    <rPh sb="49" eb="52">
      <t>ケイサンシキ</t>
    </rPh>
    <rPh sb="54" eb="56">
      <t>キュウヨ</t>
    </rPh>
    <rPh sb="56" eb="58">
      <t>シュウニュウ</t>
    </rPh>
    <rPh sb="58" eb="59">
      <t>ガク</t>
    </rPh>
    <rPh sb="63" eb="65">
      <t>マンエン</t>
    </rPh>
    <rPh sb="65" eb="66">
      <t>チョウ</t>
    </rPh>
    <rPh sb="72" eb="74">
      <t>ジョウケン</t>
    </rPh>
    <rPh sb="85" eb="89">
      <t>マンエンイカ</t>
    </rPh>
    <rPh sb="95" eb="97">
      <t>キュウヨ</t>
    </rPh>
    <rPh sb="97" eb="99">
      <t>ショトク</t>
    </rPh>
    <rPh sb="99" eb="101">
      <t>キンガク</t>
    </rPh>
    <rPh sb="102" eb="104">
      <t>エイキョウ</t>
    </rPh>
    <phoneticPr fontId="37"/>
  </si>
  <si>
    <t>支払金額</t>
    <phoneticPr fontId="37"/>
  </si>
  <si>
    <t>支払額不明</t>
    <phoneticPr fontId="37"/>
  </si>
  <si>
    <t>営業等</t>
    <rPh sb="0" eb="2">
      <t>エイギョウ</t>
    </rPh>
    <rPh sb="2" eb="3">
      <t>トウ</t>
    </rPh>
    <phoneticPr fontId="37"/>
  </si>
  <si>
    <t>収入・経費・配当割額</t>
    <phoneticPr fontId="37"/>
  </si>
  <si>
    <t>納税方法</t>
    <phoneticPr fontId="37"/>
  </si>
  <si>
    <t>種類・所得の生ずる場所</t>
    <phoneticPr fontId="37"/>
  </si>
  <si>
    <t>リストから選択。一時所得の納入方法と異なると、「営業所得等と一時所得で異なる納税方法が選択されています。同一の納付方法を選択してください。」の表示。申告書としては両方に印が入るが、印刷はできてしまう。</t>
    <phoneticPr fontId="37"/>
  </si>
  <si>
    <t>一時所得の納入方法と異なると、「営業所得等と一時所得で異なる納税方法が選択されています。同一の納付方法を選択してください。」の表示。</t>
    <phoneticPr fontId="37"/>
  </si>
  <si>
    <t>省略</t>
    <rPh sb="0" eb="2">
      <t>ショウリャク</t>
    </rPh>
    <phoneticPr fontId="37"/>
  </si>
  <si>
    <t>一時所得等</t>
    <rPh sb="0" eb="2">
      <t>イチジ</t>
    </rPh>
    <rPh sb="2" eb="4">
      <t>ショトク</t>
    </rPh>
    <rPh sb="4" eb="5">
      <t>トウ</t>
    </rPh>
    <phoneticPr fontId="37"/>
  </si>
  <si>
    <t>収入・経費</t>
    <phoneticPr fontId="37"/>
  </si>
  <si>
    <t>所得の生ずる場所</t>
    <phoneticPr fontId="37"/>
  </si>
  <si>
    <t>社会保険・生命・地震保険</t>
    <phoneticPr fontId="37"/>
  </si>
  <si>
    <t>金額</t>
    <phoneticPr fontId="37"/>
  </si>
  <si>
    <t>種類</t>
    <phoneticPr fontId="37"/>
  </si>
  <si>
    <t>入力しなくても問題なし、どんな文字でも入力可。</t>
    <phoneticPr fontId="37"/>
  </si>
  <si>
    <t>配偶者・扶養</t>
    <rPh sb="0" eb="3">
      <t>ハイグウシャ</t>
    </rPh>
    <rPh sb="4" eb="6">
      <t>フヨウ</t>
    </rPh>
    <phoneticPr fontId="37"/>
  </si>
  <si>
    <t>D5,6</t>
    <phoneticPr fontId="37"/>
  </si>
  <si>
    <t>カナ・氏名</t>
    <rPh sb="3" eb="5">
      <t>シメイ</t>
    </rPh>
    <phoneticPr fontId="37"/>
  </si>
  <si>
    <t>共通</t>
    <rPh sb="0" eb="2">
      <t>キョウツウ</t>
    </rPh>
    <phoneticPr fontId="37"/>
  </si>
  <si>
    <t>扶養親族</t>
    <rPh sb="0" eb="2">
      <t>フヨウ</t>
    </rPh>
    <rPh sb="2" eb="4">
      <t>シンゾク</t>
    </rPh>
    <phoneticPr fontId="37"/>
  </si>
  <si>
    <t>生年月日入力が不適切な時、生年月日の入力が不適切です。元号または西暦・年の入力を確認してください。</t>
    <rPh sb="0" eb="2">
      <t>セイネン</t>
    </rPh>
    <rPh sb="2" eb="4">
      <t>ガッピ</t>
    </rPh>
    <rPh sb="4" eb="6">
      <t>ニュウリョク</t>
    </rPh>
    <rPh sb="7" eb="10">
      <t>フテキセツ</t>
    </rPh>
    <rPh sb="11" eb="12">
      <t>トキ</t>
    </rPh>
    <phoneticPr fontId="37"/>
  </si>
  <si>
    <t>16歳未満扶養親族</t>
    <rPh sb="2" eb="5">
      <t>サイミマン</t>
    </rPh>
    <rPh sb="5" eb="7">
      <t>フヨウ</t>
    </rPh>
    <rPh sb="7" eb="9">
      <t>シンゾク</t>
    </rPh>
    <phoneticPr fontId="37"/>
  </si>
  <si>
    <t>障害者控除</t>
  </si>
  <si>
    <t>選択リストのみ、それ以外は拒絶、同居を選択したときのみ同特とし、それ以外は別居扱いの控除額</t>
    <rPh sb="16" eb="18">
      <t>ドウキョ</t>
    </rPh>
    <rPh sb="19" eb="21">
      <t>センタク</t>
    </rPh>
    <rPh sb="27" eb="29">
      <t>ドウトク</t>
    </rPh>
    <rPh sb="34" eb="36">
      <t>イガイ</t>
    </rPh>
    <rPh sb="37" eb="39">
      <t>ベッキョ</t>
    </rPh>
    <rPh sb="39" eb="40">
      <t>アツカ</t>
    </rPh>
    <rPh sb="42" eb="44">
      <t>コウジョ</t>
    </rPh>
    <rPh sb="44" eb="45">
      <t>ガク</t>
    </rPh>
    <phoneticPr fontId="37"/>
  </si>
  <si>
    <t>寡婦・勤労学生</t>
  </si>
  <si>
    <t>該当する場合に選択。合計所得金額75万円以下のみ控除の判定に利用。自己の勤労以外10万円以下は難しいので、判定していない。</t>
    <phoneticPr fontId="37"/>
  </si>
  <si>
    <t>E21</t>
    <phoneticPr fontId="37"/>
  </si>
  <si>
    <t>医療費・寄附金控除</t>
    <rPh sb="0" eb="3">
      <t>イリョウヒ</t>
    </rPh>
    <rPh sb="4" eb="7">
      <t>キフキン</t>
    </rPh>
    <rPh sb="7" eb="9">
      <t>コウジョ</t>
    </rPh>
    <phoneticPr fontId="37"/>
  </si>
  <si>
    <t>支払金額・補てん額・分離所得</t>
    <rPh sb="0" eb="2">
      <t>シハライ</t>
    </rPh>
    <rPh sb="2" eb="4">
      <t>キンガク</t>
    </rPh>
    <rPh sb="5" eb="6">
      <t>ホ</t>
    </rPh>
    <rPh sb="8" eb="9">
      <t>ガク</t>
    </rPh>
    <rPh sb="10" eb="12">
      <t>ブンリ</t>
    </rPh>
    <rPh sb="12" eb="14">
      <t>ショトク</t>
    </rPh>
    <phoneticPr fontId="37"/>
  </si>
  <si>
    <t>支払医療費・セルフメディケーション両方に支払金額を入力すると「医療費控除とセルフメディケーション税制は併用できません。有利な方を適用します。」を表示。</t>
    <rPh sb="0" eb="2">
      <t>シハライ</t>
    </rPh>
    <rPh sb="2" eb="5">
      <t>イリョウヒ</t>
    </rPh>
    <rPh sb="17" eb="19">
      <t>リョウホウ</t>
    </rPh>
    <rPh sb="20" eb="22">
      <t>シハライ</t>
    </rPh>
    <rPh sb="22" eb="24">
      <t>キンガク</t>
    </rPh>
    <rPh sb="25" eb="27">
      <t>ニュウリョク</t>
    </rPh>
    <rPh sb="72" eb="74">
      <t>ヒョウジ</t>
    </rPh>
    <phoneticPr fontId="37"/>
  </si>
  <si>
    <t>I4</t>
    <phoneticPr fontId="37"/>
  </si>
  <si>
    <t>寄付金額</t>
    <rPh sb="0" eb="2">
      <t>キフ</t>
    </rPh>
    <rPh sb="2" eb="4">
      <t>キンガク</t>
    </rPh>
    <phoneticPr fontId="37"/>
  </si>
  <si>
    <t>申告書</t>
    <rPh sb="0" eb="3">
      <t>シンコクショ</t>
    </rPh>
    <phoneticPr fontId="37"/>
  </si>
  <si>
    <t>印刷対象外部分</t>
    <rPh sb="0" eb="2">
      <t>インサツ</t>
    </rPh>
    <rPh sb="2" eb="4">
      <t>タイショウ</t>
    </rPh>
    <rPh sb="4" eb="5">
      <t>ガイ</t>
    </rPh>
    <rPh sb="5" eb="7">
      <t>ブブン</t>
    </rPh>
    <phoneticPr fontId="37"/>
  </si>
  <si>
    <t>申告者の住所・電話番号・生年月日のいずれかが入力されていないと、「住所、電話番号、生年月日のいずれかが未入力です。確認してください。」の注意。無視して印刷はできる。</t>
    <rPh sb="0" eb="2">
      <t>シンコク</t>
    </rPh>
    <rPh sb="2" eb="3">
      <t>シャ</t>
    </rPh>
    <rPh sb="4" eb="6">
      <t>ジュウショ</t>
    </rPh>
    <rPh sb="7" eb="9">
      <t>デンワ</t>
    </rPh>
    <rPh sb="9" eb="11">
      <t>バンゴウ</t>
    </rPh>
    <rPh sb="12" eb="14">
      <t>セイネン</t>
    </rPh>
    <rPh sb="14" eb="16">
      <t>ガッピ</t>
    </rPh>
    <rPh sb="22" eb="24">
      <t>ニュウリョク</t>
    </rPh>
    <rPh sb="33" eb="35">
      <t>ジュウショ</t>
    </rPh>
    <rPh sb="68" eb="70">
      <t>チュウイ</t>
    </rPh>
    <rPh sb="71" eb="73">
      <t>ムシ</t>
    </rPh>
    <rPh sb="75" eb="77">
      <t>インサツ</t>
    </rPh>
    <phoneticPr fontId="37"/>
  </si>
  <si>
    <t>提出先：桐生市織姫町1-1　桐生市役所税務課市民税担当　宛
問合せ先：0277-46-1111（内線226,227,228）</t>
    <rPh sb="0" eb="2">
      <t>テイシュツ</t>
    </rPh>
    <rPh sb="2" eb="3">
      <t>サキ</t>
    </rPh>
    <rPh sb="4" eb="7">
      <t>キリュウシ</t>
    </rPh>
    <rPh sb="7" eb="10">
      <t>オリヒメチョウ</t>
    </rPh>
    <rPh sb="14" eb="17">
      <t>キリュウシ</t>
    </rPh>
    <rPh sb="17" eb="19">
      <t>ヤクショ</t>
    </rPh>
    <rPh sb="19" eb="22">
      <t>ゼイムカ</t>
    </rPh>
    <rPh sb="22" eb="25">
      <t>シミンゼイ</t>
    </rPh>
    <rPh sb="25" eb="27">
      <t>タントウ</t>
    </rPh>
    <rPh sb="28" eb="29">
      <t>アテ</t>
    </rPh>
    <rPh sb="30" eb="32">
      <t>トイアワ</t>
    </rPh>
    <rPh sb="33" eb="34">
      <t>サキ</t>
    </rPh>
    <rPh sb="48" eb="50">
      <t>ナイセン</t>
    </rPh>
    <phoneticPr fontId="37"/>
  </si>
  <si>
    <t>申告書1枚目の氏名欄に署名し、必要書類を添付して桐生市役所税務課市民税担当まで提出してください。</t>
    <rPh sb="0" eb="3">
      <t>シンコクショ</t>
    </rPh>
    <rPh sb="4" eb="6">
      <t>マイメ</t>
    </rPh>
    <phoneticPr fontId="37"/>
  </si>
  <si>
    <t>社会保険料</t>
    <rPh sb="0" eb="2">
      <t>シャカイ</t>
    </rPh>
    <rPh sb="2" eb="5">
      <t>ホケンリョウ</t>
    </rPh>
    <phoneticPr fontId="37"/>
  </si>
  <si>
    <t>1行目に給与・年金源泉分を合算、2行目に種類だけ併記し、3行目はその他で合算</t>
    <rPh sb="1" eb="3">
      <t>ギョウメ</t>
    </rPh>
    <rPh sb="4" eb="6">
      <t>キュウヨ</t>
    </rPh>
    <rPh sb="7" eb="9">
      <t>ネンキン</t>
    </rPh>
    <rPh sb="9" eb="11">
      <t>ゲンセン</t>
    </rPh>
    <rPh sb="11" eb="12">
      <t>ブン</t>
    </rPh>
    <rPh sb="13" eb="15">
      <t>ガッサン</t>
    </rPh>
    <rPh sb="17" eb="19">
      <t>ギョウメ</t>
    </rPh>
    <rPh sb="20" eb="22">
      <t>シュルイ</t>
    </rPh>
    <rPh sb="24" eb="26">
      <t>ヘイキ</t>
    </rPh>
    <rPh sb="29" eb="31">
      <t>ギョウメ</t>
    </rPh>
    <rPh sb="34" eb="35">
      <t>タ</t>
    </rPh>
    <rPh sb="36" eb="38">
      <t>ガッサン</t>
    </rPh>
    <phoneticPr fontId="37"/>
  </si>
  <si>
    <t>特になし</t>
    <rPh sb="0" eb="1">
      <t>トク</t>
    </rPh>
    <phoneticPr fontId="37"/>
  </si>
  <si>
    <t>寡婦・ひとり親・勤労学生</t>
    <rPh sb="0" eb="2">
      <t>カフ</t>
    </rPh>
    <rPh sb="6" eb="7">
      <t>オヤ</t>
    </rPh>
    <rPh sb="8" eb="10">
      <t>キンロウ</t>
    </rPh>
    <rPh sb="10" eb="12">
      <t>ガクセイ</t>
    </rPh>
    <phoneticPr fontId="37"/>
  </si>
  <si>
    <t>選択した□が■になる。寡婦・ひとり親両方選択することも可能だが、ひとり親を優先して控除計算</t>
    <rPh sb="0" eb="2">
      <t>センタク</t>
    </rPh>
    <rPh sb="11" eb="13">
      <t>カフ</t>
    </rPh>
    <rPh sb="17" eb="18">
      <t>オヤ</t>
    </rPh>
    <rPh sb="18" eb="20">
      <t>リョウホウ</t>
    </rPh>
    <rPh sb="20" eb="22">
      <t>センタク</t>
    </rPh>
    <rPh sb="27" eb="29">
      <t>カノウ</t>
    </rPh>
    <rPh sb="35" eb="36">
      <t>オヤ</t>
    </rPh>
    <rPh sb="37" eb="39">
      <t>ユウセン</t>
    </rPh>
    <rPh sb="41" eb="43">
      <t>コウジョ</t>
    </rPh>
    <rPh sb="43" eb="45">
      <t>ケイサン</t>
    </rPh>
    <phoneticPr fontId="37"/>
  </si>
  <si>
    <t>配偶者控除</t>
    <rPh sb="0" eb="3">
      <t>ハイグウシャ</t>
    </rPh>
    <rPh sb="3" eb="5">
      <t>コウジョ</t>
    </rPh>
    <phoneticPr fontId="37"/>
  </si>
  <si>
    <t>16歳未満扶養</t>
    <rPh sb="2" eb="5">
      <t>サイミマン</t>
    </rPh>
    <rPh sb="5" eb="7">
      <t>フヨウ</t>
    </rPh>
    <phoneticPr fontId="37"/>
  </si>
  <si>
    <t>雑損控除</t>
    <rPh sb="0" eb="2">
      <t>ザッソン</t>
    </rPh>
    <rPh sb="2" eb="4">
      <t>コウジョ</t>
    </rPh>
    <phoneticPr fontId="37"/>
  </si>
  <si>
    <t>入力できるようにしていません。該当者いないと思うので。</t>
    <rPh sb="0" eb="2">
      <t>ニュウリョク</t>
    </rPh>
    <rPh sb="15" eb="18">
      <t>ガイトウシャ</t>
    </rPh>
    <rPh sb="22" eb="23">
      <t>オモ</t>
    </rPh>
    <phoneticPr fontId="37"/>
  </si>
  <si>
    <t>公的年金収入の入力省略できるようにしたので、医療費控除・セルフメディケーション両方を表示させています。</t>
    <rPh sb="0" eb="2">
      <t>コウテキ</t>
    </rPh>
    <rPh sb="2" eb="4">
      <t>ネンキン</t>
    </rPh>
    <rPh sb="4" eb="6">
      <t>シュウニュウ</t>
    </rPh>
    <rPh sb="7" eb="9">
      <t>ニュウリョク</t>
    </rPh>
    <rPh sb="9" eb="11">
      <t>ショウリャク</t>
    </rPh>
    <rPh sb="22" eb="25">
      <t>イリョウヒ</t>
    </rPh>
    <rPh sb="25" eb="27">
      <t>コウジョ</t>
    </rPh>
    <rPh sb="39" eb="41">
      <t>リョウホウ</t>
    </rPh>
    <rPh sb="42" eb="44">
      <t>ヒョウジ</t>
    </rPh>
    <phoneticPr fontId="37"/>
  </si>
  <si>
    <t>控除</t>
    <rPh sb="0" eb="2">
      <t>コウジョ</t>
    </rPh>
    <phoneticPr fontId="37"/>
  </si>
  <si>
    <t>給与</t>
    <rPh sb="0" eb="2">
      <t>キュウヨ</t>
    </rPh>
    <phoneticPr fontId="37"/>
  </si>
  <si>
    <t>一般、青専、白専に分けて飛んでくる。源泉なしは一般にしています。</t>
    <rPh sb="0" eb="2">
      <t>イッパン</t>
    </rPh>
    <rPh sb="3" eb="4">
      <t>アオ</t>
    </rPh>
    <rPh sb="4" eb="5">
      <t>セン</t>
    </rPh>
    <rPh sb="6" eb="7">
      <t>シロ</t>
    </rPh>
    <rPh sb="7" eb="8">
      <t>セン</t>
    </rPh>
    <rPh sb="9" eb="10">
      <t>ワ</t>
    </rPh>
    <rPh sb="12" eb="13">
      <t>ト</t>
    </rPh>
    <rPh sb="18" eb="20">
      <t>ゲンセン</t>
    </rPh>
    <rPh sb="23" eb="25">
      <t>イッパン</t>
    </rPh>
    <phoneticPr fontId="37"/>
  </si>
  <si>
    <t>入力を省略できるようにしています。</t>
    <rPh sb="0" eb="2">
      <t>ニュウリョク</t>
    </rPh>
    <rPh sb="3" eb="5">
      <t>ショウリャク</t>
    </rPh>
    <phoneticPr fontId="37"/>
  </si>
  <si>
    <t>公的年金所得</t>
    <rPh sb="0" eb="2">
      <t>コウテキ</t>
    </rPh>
    <rPh sb="2" eb="4">
      <t>ネンキン</t>
    </rPh>
    <rPh sb="4" eb="6">
      <t>ショトク</t>
    </rPh>
    <phoneticPr fontId="37"/>
  </si>
  <si>
    <t>雑所得・配当所得以外は総計してしまっています。雑・配当はマイナスのとき０で処理しています。</t>
    <rPh sb="0" eb="1">
      <t>ザツ</t>
    </rPh>
    <rPh sb="1" eb="3">
      <t>ショトク</t>
    </rPh>
    <rPh sb="4" eb="6">
      <t>ハイトウ</t>
    </rPh>
    <rPh sb="6" eb="8">
      <t>ショトク</t>
    </rPh>
    <rPh sb="8" eb="10">
      <t>イガイ</t>
    </rPh>
    <rPh sb="11" eb="13">
      <t>ソウケイ</t>
    </rPh>
    <rPh sb="23" eb="24">
      <t>ザツ</t>
    </rPh>
    <rPh sb="25" eb="27">
      <t>ハイトウ</t>
    </rPh>
    <rPh sb="37" eb="39">
      <t>ショリ</t>
    </rPh>
    <phoneticPr fontId="37"/>
  </si>
  <si>
    <t>裏</t>
    <rPh sb="0" eb="1">
      <t>ウラ</t>
    </rPh>
    <phoneticPr fontId="37"/>
  </si>
  <si>
    <t>源泉なし給与の情報が飛んできます。</t>
    <rPh sb="0" eb="2">
      <t>ゲンセン</t>
    </rPh>
    <rPh sb="4" eb="6">
      <t>キュウヨ</t>
    </rPh>
    <rPh sb="7" eb="9">
      <t>ジョウホウ</t>
    </rPh>
    <rPh sb="10" eb="11">
      <t>ト</t>
    </rPh>
    <phoneticPr fontId="37"/>
  </si>
  <si>
    <t>事業所得、不動産所得</t>
    <rPh sb="0" eb="2">
      <t>ジギョウ</t>
    </rPh>
    <rPh sb="2" eb="4">
      <t>ショトク</t>
    </rPh>
    <rPh sb="5" eb="8">
      <t>フドウサン</t>
    </rPh>
    <rPh sb="8" eb="10">
      <t>ショトク</t>
    </rPh>
    <phoneticPr fontId="37"/>
  </si>
  <si>
    <t>事業専従者、株申告選択</t>
    <rPh sb="0" eb="2">
      <t>ジギョウ</t>
    </rPh>
    <rPh sb="2" eb="5">
      <t>センジュウシャ</t>
    </rPh>
    <rPh sb="6" eb="7">
      <t>カブ</t>
    </rPh>
    <rPh sb="7" eb="9">
      <t>シンコク</t>
    </rPh>
    <rPh sb="9" eb="11">
      <t>センタク</t>
    </rPh>
    <phoneticPr fontId="37"/>
  </si>
  <si>
    <t>事業税</t>
    <rPh sb="0" eb="3">
      <t>ジギョウゼイ</t>
    </rPh>
    <phoneticPr fontId="37"/>
  </si>
  <si>
    <t>入力できるようにしていません。</t>
  </si>
  <si>
    <t>総合・一時</t>
    <rPh sb="0" eb="2">
      <t>ソウゴウ</t>
    </rPh>
    <rPh sb="3" eb="5">
      <t>イチジ</t>
    </rPh>
    <phoneticPr fontId="37"/>
  </si>
  <si>
    <t>雑</t>
    <rPh sb="0" eb="1">
      <t>ザツ</t>
    </rPh>
    <phoneticPr fontId="37"/>
  </si>
  <si>
    <t>上２行が業務分、下２行がその他分です。業務が一つで、その他があると２行目が空欄になります。</t>
    <rPh sb="0" eb="1">
      <t>ウエ</t>
    </rPh>
    <rPh sb="2" eb="3">
      <t>ギョウ</t>
    </rPh>
    <rPh sb="4" eb="6">
      <t>ギョウム</t>
    </rPh>
    <rPh sb="6" eb="7">
      <t>ブン</t>
    </rPh>
    <rPh sb="8" eb="9">
      <t>シタ</t>
    </rPh>
    <rPh sb="10" eb="11">
      <t>ギョウ</t>
    </rPh>
    <rPh sb="14" eb="15">
      <t>タ</t>
    </rPh>
    <rPh sb="15" eb="16">
      <t>ブン</t>
    </rPh>
    <rPh sb="19" eb="21">
      <t>ギョウム</t>
    </rPh>
    <rPh sb="22" eb="23">
      <t>ヒト</t>
    </rPh>
    <rPh sb="28" eb="29">
      <t>タ</t>
    </rPh>
    <rPh sb="34" eb="36">
      <t>ギョウメ</t>
    </rPh>
    <rPh sb="37" eb="39">
      <t>クウラン</t>
    </rPh>
    <phoneticPr fontId="37"/>
  </si>
  <si>
    <t>別居の扶養親族</t>
    <rPh sb="0" eb="2">
      <t>ベッキョ</t>
    </rPh>
    <rPh sb="3" eb="5">
      <t>フヨウ</t>
    </rPh>
    <rPh sb="5" eb="7">
      <t>シンゾク</t>
    </rPh>
    <phoneticPr fontId="37"/>
  </si>
  <si>
    <t>扶養で「別居」を選択した人のうち上から４人までを表示させます。</t>
    <rPh sb="0" eb="2">
      <t>フヨウ</t>
    </rPh>
    <rPh sb="4" eb="6">
      <t>ベッキョ</t>
    </rPh>
    <rPh sb="8" eb="10">
      <t>センタク</t>
    </rPh>
    <rPh sb="12" eb="13">
      <t>ヒト</t>
    </rPh>
    <rPh sb="16" eb="17">
      <t>ウエ</t>
    </rPh>
    <rPh sb="20" eb="21">
      <t>ニン</t>
    </rPh>
    <rPh sb="24" eb="26">
      <t>ヒョウジ</t>
    </rPh>
    <phoneticPr fontId="37"/>
  </si>
  <si>
    <t>配当</t>
    <rPh sb="0" eb="2">
      <t>ハイトウ</t>
    </rPh>
    <phoneticPr fontId="37"/>
  </si>
  <si>
    <t>特になし、支払確定年月は入力できるようにしていません（漏れてて、面倒だし、なくても良いかなーという理由です）</t>
    <rPh sb="0" eb="1">
      <t>トク</t>
    </rPh>
    <rPh sb="5" eb="7">
      <t>シハライ</t>
    </rPh>
    <rPh sb="7" eb="9">
      <t>カクテイ</t>
    </rPh>
    <rPh sb="9" eb="11">
      <t>ネンゲツ</t>
    </rPh>
    <rPh sb="12" eb="14">
      <t>ニュウリョク</t>
    </rPh>
    <rPh sb="27" eb="28">
      <t>モ</t>
    </rPh>
    <rPh sb="32" eb="34">
      <t>メンドウ</t>
    </rPh>
    <rPh sb="41" eb="42">
      <t>イ</t>
    </rPh>
    <rPh sb="49" eb="51">
      <t>リユウ</t>
    </rPh>
    <phoneticPr fontId="37"/>
  </si>
  <si>
    <t>配当割額</t>
    <rPh sb="0" eb="2">
      <t>ハイトウ</t>
    </rPh>
    <rPh sb="2" eb="3">
      <t>ワリ</t>
    </rPh>
    <rPh sb="3" eb="4">
      <t>ガク</t>
    </rPh>
    <phoneticPr fontId="37"/>
  </si>
  <si>
    <t>配当割額だけ入力できるようにしています。譲渡はしていません。</t>
    <rPh sb="0" eb="2">
      <t>ハイトウ</t>
    </rPh>
    <rPh sb="2" eb="3">
      <t>ワリ</t>
    </rPh>
    <rPh sb="3" eb="4">
      <t>ガク</t>
    </rPh>
    <rPh sb="6" eb="8">
      <t>ニュウリョク</t>
    </rPh>
    <rPh sb="20" eb="22">
      <t>ジョウト</t>
    </rPh>
    <phoneticPr fontId="37"/>
  </si>
  <si>
    <t>所得金額調整控除後の所得金額を表示させるようにしています。調整控除の判定は給与収入850万円超と申告意思だけです。</t>
    <rPh sb="0" eb="2">
      <t>ショトク</t>
    </rPh>
    <rPh sb="2" eb="4">
      <t>キンガク</t>
    </rPh>
    <rPh sb="4" eb="6">
      <t>チョウセイ</t>
    </rPh>
    <rPh sb="6" eb="8">
      <t>コウジョ</t>
    </rPh>
    <rPh sb="8" eb="9">
      <t>ゴ</t>
    </rPh>
    <rPh sb="10" eb="12">
      <t>ショトク</t>
    </rPh>
    <rPh sb="12" eb="14">
      <t>キンガク</t>
    </rPh>
    <rPh sb="15" eb="17">
      <t>ヒョウジ</t>
    </rPh>
    <rPh sb="29" eb="31">
      <t>チョウセイ</t>
    </rPh>
    <rPh sb="31" eb="33">
      <t>コウジョ</t>
    </rPh>
    <rPh sb="34" eb="36">
      <t>ハンテイ</t>
    </rPh>
    <rPh sb="37" eb="39">
      <t>キュウヨ</t>
    </rPh>
    <rPh sb="39" eb="41">
      <t>シュウニュウ</t>
    </rPh>
    <rPh sb="44" eb="46">
      <t>マンエン</t>
    </rPh>
    <rPh sb="46" eb="47">
      <t>チョウ</t>
    </rPh>
    <rPh sb="48" eb="50">
      <t>シンコク</t>
    </rPh>
    <rPh sb="50" eb="52">
      <t>イシ</t>
    </rPh>
    <phoneticPr fontId="37"/>
  </si>
  <si>
    <t>収入なかった方</t>
    <rPh sb="0" eb="2">
      <t>シュウニュウ</t>
    </rPh>
    <rPh sb="6" eb="7">
      <t>カタ</t>
    </rPh>
    <phoneticPr fontId="37"/>
  </si>
  <si>
    <t>基礎控除</t>
    <rPh sb="0" eb="2">
      <t>キソ</t>
    </rPh>
    <rPh sb="2" eb="4">
      <t>コウジョ</t>
    </rPh>
    <phoneticPr fontId="37"/>
  </si>
  <si>
    <t>右上のイの金額を表面のコに、ロの金額を表面のサに、ハの金額を表面のシに記入してください。右のニの金額を表面の⑪の所得金額へ記入してください。</t>
    <phoneticPr fontId="37"/>
  </si>
  <si>
    <t>差引原価
(③-④)</t>
    <phoneticPr fontId="37"/>
  </si>
  <si>
    <t>配当</t>
    <phoneticPr fontId="37"/>
  </si>
  <si>
    <t>選択してください</t>
  </si>
  <si>
    <t>明治50年などの入力はDATEVALUEで正しく換算されるが、西暦を選択して年が3桁未満や元号を選択して99年以上を入力は処理できない。一応、「西暦」+「3桁未満の数字」、「元号」+「4桁以上」の年のときに注意を表示。西暦を選択しないで4桁以上の数字を入力した場合は、西暦として処理。処理できない入力は所得控除を加算させていません。西暦・元号を選択しないで、年だけ入力したときにも元号・西暦を選択してくださいを表示</t>
    <rPh sb="61" eb="63">
      <t>ショリ</t>
    </rPh>
    <rPh sb="142" eb="144">
      <t>ショリ</t>
    </rPh>
    <rPh sb="148" eb="150">
      <t>ニュウリョク</t>
    </rPh>
    <rPh sb="151" eb="153">
      <t>ショトク</t>
    </rPh>
    <rPh sb="153" eb="155">
      <t>コウジョ</t>
    </rPh>
    <rPh sb="156" eb="158">
      <t>カサン</t>
    </rPh>
    <rPh sb="166" eb="168">
      <t>セイレキ</t>
    </rPh>
    <phoneticPr fontId="37"/>
  </si>
  <si>
    <t>一応、「西暦」+「3桁未満の数字」、「元号」+「4桁以上」の年のときに注意を表示。西暦・元号を選択しないで、年だけ入力したときにも元号・西暦を選択してくださいを表示。控除金額に影響しないので、市・県民税申告書にはそのまま反映。</t>
    <rPh sb="83" eb="85">
      <t>コウジョ</t>
    </rPh>
    <rPh sb="85" eb="87">
      <t>キンガク</t>
    </rPh>
    <rPh sb="88" eb="90">
      <t>エイキョウ</t>
    </rPh>
    <rPh sb="96" eb="104">
      <t>シ</t>
    </rPh>
    <rPh sb="110" eb="112">
      <t>ハンエイ</t>
    </rPh>
    <phoneticPr fontId="37"/>
  </si>
  <si>
    <r>
      <t>明治50年などの入力はDATEVALUEで正しく換算されるが、西暦を選択して年が3桁未満や元号を選択して100年以上を入力は処理できない。一応、「西暦」+「3桁未満の数字」、「元号」+「4桁以上」の年のときに注意を表示。西暦を選択しないで4桁以上の数字を入力した場合は、西暦として処理。西暦・元号を選択しないで、年だけ入力したときにも元号・西暦を選択してくださいを表示。</t>
    </r>
    <r>
      <rPr>
        <b/>
        <sz val="11"/>
        <color rgb="FFFF0000"/>
        <rFont val="Meiryo UI"/>
        <family val="3"/>
        <charset val="128"/>
      </rPr>
      <t>処理できない入力は所得控除を加算させていません。</t>
    </r>
    <rPh sb="62" eb="64">
      <t>ショリ</t>
    </rPh>
    <rPh sb="185" eb="187">
      <t>ショリ</t>
    </rPh>
    <rPh sb="191" eb="193">
      <t>ニュウリョク</t>
    </rPh>
    <rPh sb="194" eb="196">
      <t>ショトク</t>
    </rPh>
    <rPh sb="196" eb="198">
      <t>コウジョ</t>
    </rPh>
    <rPh sb="199" eb="201">
      <t>カサン</t>
    </rPh>
    <phoneticPr fontId="37"/>
  </si>
  <si>
    <r>
      <t>市・県民税申告書の所得金額のみで算出しています。</t>
    </r>
    <r>
      <rPr>
        <b/>
        <sz val="11"/>
        <rFont val="Meiryo UI"/>
        <family val="3"/>
        <charset val="128"/>
      </rPr>
      <t>分離の所得の有無を判断していません。</t>
    </r>
    <rPh sb="0" eb="8">
      <t>シ</t>
    </rPh>
    <rPh sb="9" eb="11">
      <t>ショトク</t>
    </rPh>
    <rPh sb="11" eb="13">
      <t>キンガク</t>
    </rPh>
    <rPh sb="16" eb="18">
      <t>サンシュツ</t>
    </rPh>
    <rPh sb="24" eb="26">
      <t>ブンリ</t>
    </rPh>
    <rPh sb="27" eb="29">
      <t>ショトク</t>
    </rPh>
    <rPh sb="30" eb="32">
      <t>ウム</t>
    </rPh>
    <rPh sb="33" eb="35">
      <t>ハンダン</t>
    </rPh>
    <phoneticPr fontId="37"/>
  </si>
  <si>
    <t>収入の入力に進みます。こちらを選択してください。</t>
    <rPh sb="0" eb="2">
      <t>シュウニュウ</t>
    </rPh>
    <rPh sb="3" eb="5">
      <t>ニュウリョク</t>
    </rPh>
    <rPh sb="6" eb="7">
      <t>スス</t>
    </rPh>
    <rPh sb="15" eb="17">
      <t>センタク</t>
    </rPh>
    <phoneticPr fontId="37"/>
  </si>
  <si>
    <t>収入がなかった方はこちらを選択してください。</t>
    <rPh sb="0" eb="2">
      <t>シュウニュウ</t>
    </rPh>
    <rPh sb="7" eb="8">
      <t>カタ</t>
    </rPh>
    <rPh sb="13" eb="15">
      <t>センタク</t>
    </rPh>
    <phoneticPr fontId="37"/>
  </si>
  <si>
    <t>営業・農業・不動産・雑所得がある方はこちら</t>
    <rPh sb="0" eb="2">
      <t>エイギョウ</t>
    </rPh>
    <rPh sb="3" eb="5">
      <t>ノウギョウ</t>
    </rPh>
    <rPh sb="6" eb="9">
      <t>フドウサン</t>
    </rPh>
    <rPh sb="10" eb="13">
      <t>ザツショトク</t>
    </rPh>
    <rPh sb="16" eb="17">
      <t>カタ</t>
    </rPh>
    <phoneticPr fontId="37"/>
  </si>
  <si>
    <t>総合譲渡（短期・長期）・一時所得がある方はこちら</t>
    <rPh sb="0" eb="2">
      <t>ソウゴウ</t>
    </rPh>
    <rPh sb="2" eb="4">
      <t>ジョウト</t>
    </rPh>
    <rPh sb="5" eb="7">
      <t>タンキ</t>
    </rPh>
    <rPh sb="8" eb="10">
      <t>チョウキ</t>
    </rPh>
    <rPh sb="12" eb="14">
      <t>イチジ</t>
    </rPh>
    <rPh sb="14" eb="16">
      <t>ショトク</t>
    </rPh>
    <rPh sb="19" eb="20">
      <t>カタ</t>
    </rPh>
    <phoneticPr fontId="37"/>
  </si>
  <si>
    <t>給与収入、公的年金収入を入力しますか？</t>
    <rPh sb="0" eb="2">
      <t>キュウヨ</t>
    </rPh>
    <rPh sb="2" eb="4">
      <t>シュウニュウ</t>
    </rPh>
    <rPh sb="5" eb="7">
      <t>コウテキ</t>
    </rPh>
    <rPh sb="7" eb="9">
      <t>ネンキン</t>
    </rPh>
    <rPh sb="9" eb="11">
      <t>シュウニュウ</t>
    </rPh>
    <rPh sb="12" eb="14">
      <t>ニュウリョク</t>
    </rPh>
    <phoneticPr fontId="37"/>
  </si>
  <si>
    <t>総合譲渡所得・一時所得がある方はこちら</t>
    <rPh sb="0" eb="2">
      <t>ソウゴウ</t>
    </rPh>
    <rPh sb="2" eb="4">
      <t>ジョウト</t>
    </rPh>
    <rPh sb="4" eb="6">
      <t>ショトク</t>
    </rPh>
    <rPh sb="7" eb="9">
      <t>イチジ</t>
    </rPh>
    <rPh sb="9" eb="11">
      <t>ショトク</t>
    </rPh>
    <rPh sb="14" eb="15">
      <t>カタ</t>
    </rPh>
    <phoneticPr fontId="37"/>
  </si>
  <si>
    <t>給与収入・公的年金収入の入力をする方はこちら</t>
    <rPh sb="0" eb="2">
      <t>キュウヨ</t>
    </rPh>
    <rPh sb="2" eb="4">
      <t>シュウニュウ</t>
    </rPh>
    <rPh sb="5" eb="7">
      <t>コウテキ</t>
    </rPh>
    <rPh sb="7" eb="9">
      <t>ネンキン</t>
    </rPh>
    <rPh sb="9" eb="11">
      <t>シュウニュウ</t>
    </rPh>
    <rPh sb="12" eb="14">
      <t>ニュウリョク</t>
    </rPh>
    <rPh sb="17" eb="18">
      <t>カタ</t>
    </rPh>
    <phoneticPr fontId="37"/>
  </si>
  <si>
    <t>営業収入や公的年金以外の雑所得を入力する方はこちら</t>
    <rPh sb="0" eb="2">
      <t>エイギョウ</t>
    </rPh>
    <rPh sb="2" eb="4">
      <t>シュウニュウ</t>
    </rPh>
    <rPh sb="5" eb="7">
      <t>コウテキ</t>
    </rPh>
    <rPh sb="7" eb="9">
      <t>ネンキン</t>
    </rPh>
    <rPh sb="9" eb="11">
      <t>イガイ</t>
    </rPh>
    <rPh sb="12" eb="15">
      <t>ザツショトク</t>
    </rPh>
    <rPh sb="16" eb="18">
      <t>ニュウリョク</t>
    </rPh>
    <rPh sb="20" eb="21">
      <t>カタ</t>
    </rPh>
    <phoneticPr fontId="37"/>
  </si>
  <si>
    <t>収入金額を修正する方はこちら</t>
    <rPh sb="0" eb="2">
      <t>シュウニュウ</t>
    </rPh>
    <rPh sb="2" eb="4">
      <t>キンガク</t>
    </rPh>
    <rPh sb="5" eb="7">
      <t>シュウセイ</t>
    </rPh>
    <rPh sb="9" eb="10">
      <t>カタ</t>
    </rPh>
    <phoneticPr fontId="37"/>
  </si>
  <si>
    <t>配偶者・扶養控除を申告する方はこちら</t>
    <rPh sb="0" eb="3">
      <t>ハイグウシャ</t>
    </rPh>
    <rPh sb="4" eb="6">
      <t>フヨウ</t>
    </rPh>
    <rPh sb="6" eb="8">
      <t>コウジョ</t>
    </rPh>
    <rPh sb="9" eb="11">
      <t>シンコク</t>
    </rPh>
    <rPh sb="13" eb="14">
      <t>カタ</t>
    </rPh>
    <phoneticPr fontId="37"/>
  </si>
  <si>
    <t>障害者控除を申告する方はこちら</t>
    <rPh sb="0" eb="3">
      <t>ショウガイシャ</t>
    </rPh>
    <rPh sb="3" eb="5">
      <t>コウジョ</t>
    </rPh>
    <rPh sb="6" eb="8">
      <t>シンコク</t>
    </rPh>
    <rPh sb="10" eb="11">
      <t>カタ</t>
    </rPh>
    <phoneticPr fontId="37"/>
  </si>
  <si>
    <t>寡婦・ひとり親・勤労学生控除を申告する方はこちら</t>
    <rPh sb="0" eb="2">
      <t>カフ</t>
    </rPh>
    <rPh sb="6" eb="7">
      <t>オヤ</t>
    </rPh>
    <rPh sb="8" eb="10">
      <t>キンロウ</t>
    </rPh>
    <rPh sb="10" eb="12">
      <t>ガクセイ</t>
    </rPh>
    <rPh sb="12" eb="14">
      <t>コウジョ</t>
    </rPh>
    <rPh sb="15" eb="17">
      <t>シンコク</t>
    </rPh>
    <rPh sb="19" eb="20">
      <t>カタ</t>
    </rPh>
    <phoneticPr fontId="37"/>
  </si>
  <si>
    <t>医療費控除・寄附金控除を申告する方はこちら</t>
    <rPh sb="0" eb="3">
      <t>イリョウヒ</t>
    </rPh>
    <rPh sb="3" eb="5">
      <t>コウジョ</t>
    </rPh>
    <rPh sb="6" eb="9">
      <t>キフキン</t>
    </rPh>
    <rPh sb="9" eb="11">
      <t>コウジョ</t>
    </rPh>
    <rPh sb="12" eb="14">
      <t>シンコク</t>
    </rPh>
    <rPh sb="16" eb="17">
      <t>カタ</t>
    </rPh>
    <phoneticPr fontId="37"/>
  </si>
  <si>
    <t>社会保険料・生命保険料・地震保険料控除を申告する方はこちら</t>
    <rPh sb="0" eb="2">
      <t>シャカイ</t>
    </rPh>
    <rPh sb="2" eb="5">
      <t>ホケンリョウ</t>
    </rPh>
    <rPh sb="6" eb="8">
      <t>セイメイ</t>
    </rPh>
    <rPh sb="8" eb="10">
      <t>ホケン</t>
    </rPh>
    <rPh sb="10" eb="11">
      <t>リョウ</t>
    </rPh>
    <rPh sb="12" eb="14">
      <t>ジシン</t>
    </rPh>
    <rPh sb="14" eb="17">
      <t>ホケンリョウ</t>
    </rPh>
    <rPh sb="17" eb="19">
      <t>コウジョ</t>
    </rPh>
    <rPh sb="20" eb="22">
      <t>シンコク</t>
    </rPh>
    <rPh sb="24" eb="25">
      <t>カタ</t>
    </rPh>
    <phoneticPr fontId="37"/>
  </si>
  <si>
    <t>社会保険料・生命保険料・地震保険料控除を申告する方</t>
    <rPh sb="0" eb="2">
      <t>シャカイ</t>
    </rPh>
    <rPh sb="2" eb="5">
      <t>ホケンリョウ</t>
    </rPh>
    <rPh sb="6" eb="8">
      <t>セイメイ</t>
    </rPh>
    <rPh sb="8" eb="10">
      <t>ホケン</t>
    </rPh>
    <rPh sb="10" eb="11">
      <t>リョウ</t>
    </rPh>
    <rPh sb="12" eb="14">
      <t>ジシン</t>
    </rPh>
    <rPh sb="14" eb="17">
      <t>ホケンリョウ</t>
    </rPh>
    <rPh sb="17" eb="19">
      <t>コウジョ</t>
    </rPh>
    <rPh sb="20" eb="22">
      <t>シンコク</t>
    </rPh>
    <rPh sb="24" eb="25">
      <t>カタ</t>
    </rPh>
    <phoneticPr fontId="37"/>
  </si>
  <si>
    <t>公的年金以外の所得</t>
    <rPh sb="0" eb="2">
      <t>コウテキ</t>
    </rPh>
    <rPh sb="2" eb="4">
      <t>ネンキン</t>
    </rPh>
    <rPh sb="4" eb="6">
      <t>イガイ</t>
    </rPh>
    <rPh sb="7" eb="9">
      <t>ショトク</t>
    </rPh>
    <phoneticPr fontId="37"/>
  </si>
  <si>
    <t>年金外所得・年齢考慮後の所得</t>
    <rPh sb="0" eb="2">
      <t>ネンキン</t>
    </rPh>
    <rPh sb="2" eb="3">
      <t>ガイ</t>
    </rPh>
    <rPh sb="3" eb="5">
      <t>ショトク</t>
    </rPh>
    <rPh sb="6" eb="8">
      <t>ネンレイ</t>
    </rPh>
    <rPh sb="8" eb="10">
      <t>コウリョ</t>
    </rPh>
    <rPh sb="10" eb="11">
      <t>ゴ</t>
    </rPh>
    <rPh sb="12" eb="14">
      <t>ショトク</t>
    </rPh>
    <phoneticPr fontId="37"/>
  </si>
  <si>
    <t>調整控除(子育て介護)</t>
    <rPh sb="0" eb="2">
      <t>チョウセイ</t>
    </rPh>
    <rPh sb="2" eb="4">
      <t>コウジョ</t>
    </rPh>
    <rPh sb="5" eb="7">
      <t>コソダ</t>
    </rPh>
    <rPh sb="8" eb="10">
      <t>カイゴ</t>
    </rPh>
    <phoneticPr fontId="37"/>
  </si>
  <si>
    <t>調整控除①控除後所得</t>
    <rPh sb="0" eb="2">
      <t>チョウセイ</t>
    </rPh>
    <rPh sb="2" eb="4">
      <t>コウジョ</t>
    </rPh>
    <rPh sb="5" eb="7">
      <t>コウジョ</t>
    </rPh>
    <rPh sb="7" eb="8">
      <t>ゴ</t>
    </rPh>
    <rPh sb="8" eb="10">
      <t>ショトク</t>
    </rPh>
    <phoneticPr fontId="37"/>
  </si>
  <si>
    <t>最終的な給与所得</t>
    <rPh sb="0" eb="3">
      <t>サイシュウテキ</t>
    </rPh>
    <rPh sb="4" eb="6">
      <t>キュウヨ</t>
    </rPh>
    <rPh sb="6" eb="8">
      <t>ショトク</t>
    </rPh>
    <phoneticPr fontId="37"/>
  </si>
  <si>
    <t>調整控除(公的年金)：調整控除の計算式をそのまま適用</t>
    <rPh sb="0" eb="2">
      <t>チョウセイ</t>
    </rPh>
    <rPh sb="2" eb="4">
      <t>コウジョ</t>
    </rPh>
    <rPh sb="5" eb="7">
      <t>コウテキ</t>
    </rPh>
    <rPh sb="7" eb="9">
      <t>ネンキン</t>
    </rPh>
    <rPh sb="11" eb="13">
      <t>チョウセイ</t>
    </rPh>
    <rPh sb="13" eb="15">
      <t>コウジョ</t>
    </rPh>
    <rPh sb="16" eb="19">
      <t>ケイサンシキ</t>
    </rPh>
    <rPh sb="24" eb="26">
      <t>テキヨウ</t>
    </rPh>
    <phoneticPr fontId="37"/>
  </si>
  <si>
    <t>調整控除（公的年金）</t>
    <rPh sb="0" eb="2">
      <t>ちょうせい</t>
    </rPh>
    <rPh sb="2" eb="4">
      <t>こうじょ</t>
    </rPh>
    <rPh sb="5" eb="7">
      <t>こうてき</t>
    </rPh>
    <rPh sb="7" eb="9">
      <t>ねんきん</t>
    </rPh>
    <phoneticPr fontId="2" type="noConversion"/>
  </si>
  <si>
    <t>公的年金以外加算分</t>
    <rPh sb="0" eb="2">
      <t>コウテキ</t>
    </rPh>
    <rPh sb="2" eb="4">
      <t>ネンキン</t>
    </rPh>
    <rPh sb="4" eb="6">
      <t>イガイ</t>
    </rPh>
    <rPh sb="6" eb="8">
      <t>カサン</t>
    </rPh>
    <rPh sb="8" eb="9">
      <t>ブン</t>
    </rPh>
    <phoneticPr fontId="37"/>
  </si>
  <si>
    <t>給与・年金</t>
    <rPh sb="0" eb="2">
      <t>キュウヨ</t>
    </rPh>
    <rPh sb="3" eb="5">
      <t>ネンキン</t>
    </rPh>
    <phoneticPr fontId="37"/>
  </si>
  <si>
    <t>給与所得・年金所得の計算方法について
1.子育て・介護分の給与所得調整控除を算出して、調整控除①後所得算出
2. 公的年金所得の計算（公的年金以外の合計所得金額の給与所得は調整控除①後所得）
3.給与所得と公的年金所得がある場合の調整控除を算出して、調整控除②後所得（最終的な給与所得）算出</t>
    <rPh sb="0" eb="2">
      <t>キュウヨ</t>
    </rPh>
    <rPh sb="2" eb="4">
      <t>ショトク</t>
    </rPh>
    <rPh sb="5" eb="7">
      <t>ネンキン</t>
    </rPh>
    <rPh sb="7" eb="9">
      <t>ショトク</t>
    </rPh>
    <rPh sb="10" eb="12">
      <t>ケイサン</t>
    </rPh>
    <rPh sb="12" eb="14">
      <t>ホウホウ</t>
    </rPh>
    <rPh sb="21" eb="22">
      <t>コ</t>
    </rPh>
    <rPh sb="22" eb="23">
      <t>ソダ</t>
    </rPh>
    <rPh sb="25" eb="27">
      <t>カイゴ</t>
    </rPh>
    <rPh sb="27" eb="28">
      <t>ブン</t>
    </rPh>
    <rPh sb="29" eb="31">
      <t>キュウヨ</t>
    </rPh>
    <rPh sb="31" eb="33">
      <t>ショトク</t>
    </rPh>
    <rPh sb="33" eb="35">
      <t>チョウセイ</t>
    </rPh>
    <rPh sb="35" eb="37">
      <t>コウジョ</t>
    </rPh>
    <rPh sb="38" eb="40">
      <t>サンシュツ</t>
    </rPh>
    <rPh sb="43" eb="45">
      <t>チョウセイ</t>
    </rPh>
    <rPh sb="45" eb="47">
      <t>コウジョ</t>
    </rPh>
    <rPh sb="48" eb="49">
      <t>ゴ</t>
    </rPh>
    <rPh sb="49" eb="51">
      <t>ショトク</t>
    </rPh>
    <rPh sb="51" eb="53">
      <t>サンシュツ</t>
    </rPh>
    <rPh sb="57" eb="59">
      <t>コウテキ</t>
    </rPh>
    <rPh sb="59" eb="61">
      <t>ネンキン</t>
    </rPh>
    <rPh sb="61" eb="63">
      <t>ショトク</t>
    </rPh>
    <rPh sb="64" eb="66">
      <t>ケイサン</t>
    </rPh>
    <rPh sb="67" eb="69">
      <t>コウテキ</t>
    </rPh>
    <rPh sb="69" eb="71">
      <t>ネンキン</t>
    </rPh>
    <rPh sb="71" eb="73">
      <t>イガイ</t>
    </rPh>
    <rPh sb="74" eb="76">
      <t>ゴウケイ</t>
    </rPh>
    <rPh sb="76" eb="78">
      <t>ショトク</t>
    </rPh>
    <rPh sb="78" eb="80">
      <t>キンガク</t>
    </rPh>
    <rPh sb="81" eb="83">
      <t>キュウヨ</t>
    </rPh>
    <rPh sb="83" eb="85">
      <t>ショトク</t>
    </rPh>
    <rPh sb="86" eb="88">
      <t>チョウセイ</t>
    </rPh>
    <rPh sb="88" eb="90">
      <t>コウジョ</t>
    </rPh>
    <rPh sb="91" eb="92">
      <t>ゴ</t>
    </rPh>
    <rPh sb="92" eb="94">
      <t>ショトク</t>
    </rPh>
    <rPh sb="98" eb="100">
      <t>キュウヨ</t>
    </rPh>
    <rPh sb="100" eb="102">
      <t>ショトク</t>
    </rPh>
    <rPh sb="103" eb="105">
      <t>コウテキ</t>
    </rPh>
    <rPh sb="105" eb="107">
      <t>ネンキン</t>
    </rPh>
    <rPh sb="107" eb="109">
      <t>ショトク</t>
    </rPh>
    <rPh sb="112" eb="114">
      <t>バアイ</t>
    </rPh>
    <rPh sb="115" eb="117">
      <t>チョウセイ</t>
    </rPh>
    <rPh sb="117" eb="119">
      <t>コウジョ</t>
    </rPh>
    <rPh sb="120" eb="122">
      <t>サンシュツ</t>
    </rPh>
    <rPh sb="125" eb="127">
      <t>チョウセイ</t>
    </rPh>
    <rPh sb="127" eb="129">
      <t>コウジョ</t>
    </rPh>
    <rPh sb="130" eb="131">
      <t>ゴ</t>
    </rPh>
    <rPh sb="131" eb="133">
      <t>ショトク</t>
    </rPh>
    <rPh sb="134" eb="137">
      <t>サイシュウテキ</t>
    </rPh>
    <rPh sb="138" eb="140">
      <t>キュウヨ</t>
    </rPh>
    <rPh sb="140" eb="142">
      <t>ショトク</t>
    </rPh>
    <rPh sb="143" eb="145">
      <t>サンシュツ</t>
    </rPh>
    <phoneticPr fontId="37"/>
  </si>
  <si>
    <t>扶養親族のうち、別居か同居か一覧を表示させます。また、別居の人の累計を表示し、「累計&amp;(同居or別居)」を表示させます。1別居,2別居,3別居,4別居の人の情報を裏面の別居扶養親族情報にVLOOKUPで表示させます。</t>
    <rPh sb="0" eb="2">
      <t>フヨウ</t>
    </rPh>
    <rPh sb="2" eb="4">
      <t>シンゾク</t>
    </rPh>
    <rPh sb="8" eb="10">
      <t>ベッキョ</t>
    </rPh>
    <rPh sb="11" eb="13">
      <t>ドウキョ</t>
    </rPh>
    <rPh sb="14" eb="16">
      <t>イチラン</t>
    </rPh>
    <rPh sb="17" eb="19">
      <t>ヒョウジ</t>
    </rPh>
    <rPh sb="27" eb="29">
      <t>ベッキョ</t>
    </rPh>
    <rPh sb="30" eb="31">
      <t>ヒト</t>
    </rPh>
    <rPh sb="32" eb="34">
      <t>ルイケイ</t>
    </rPh>
    <rPh sb="35" eb="37">
      <t>ヒョウジ</t>
    </rPh>
    <rPh sb="40" eb="42">
      <t>ルイケイ</t>
    </rPh>
    <rPh sb="44" eb="46">
      <t>ドウキョ</t>
    </rPh>
    <rPh sb="48" eb="50">
      <t>ベッキョ</t>
    </rPh>
    <rPh sb="53" eb="55">
      <t>ヒョウジ</t>
    </rPh>
    <rPh sb="61" eb="63">
      <t>ベッキョ</t>
    </rPh>
    <rPh sb="65" eb="67">
      <t>ベッキョ</t>
    </rPh>
    <rPh sb="69" eb="71">
      <t>ベッキョ</t>
    </rPh>
    <rPh sb="73" eb="75">
      <t>ベッキョ</t>
    </rPh>
    <rPh sb="76" eb="77">
      <t>ヒト</t>
    </rPh>
    <rPh sb="78" eb="80">
      <t>ジョウホウ</t>
    </rPh>
    <rPh sb="81" eb="83">
      <t>ウラメン</t>
    </rPh>
    <rPh sb="84" eb="86">
      <t>ベッキョ</t>
    </rPh>
    <rPh sb="86" eb="88">
      <t>フヨウ</t>
    </rPh>
    <rPh sb="88" eb="90">
      <t>シンゾク</t>
    </rPh>
    <rPh sb="90" eb="92">
      <t>ジョウホウ</t>
    </rPh>
    <rPh sb="101" eb="103">
      <t>ヒョウジ</t>
    </rPh>
    <phoneticPr fontId="37"/>
  </si>
  <si>
    <t>同居特別障害分の加算</t>
    <rPh sb="0" eb="2">
      <t>ドウキョ</t>
    </rPh>
    <rPh sb="2" eb="4">
      <t>トクベツ</t>
    </rPh>
    <rPh sb="4" eb="6">
      <t>ショウガイ</t>
    </rPh>
    <rPh sb="6" eb="7">
      <t>ブン</t>
    </rPh>
    <rPh sb="8" eb="10">
      <t>カサン</t>
    </rPh>
    <phoneticPr fontId="37"/>
  </si>
  <si>
    <t>障害の程度（手帳の種類等）を選択してください。</t>
    <rPh sb="0" eb="2">
      <t>ショウガイ</t>
    </rPh>
    <rPh sb="3" eb="5">
      <t>テイド</t>
    </rPh>
    <rPh sb="6" eb="8">
      <t>テチョウ</t>
    </rPh>
    <rPh sb="9" eb="11">
      <t>シュルイ</t>
    </rPh>
    <rPh sb="11" eb="12">
      <t>トウ</t>
    </rPh>
    <rPh sb="14" eb="16">
      <t>センタク</t>
    </rPh>
    <phoneticPr fontId="37"/>
  </si>
  <si>
    <t>障害者控除の区分（障害の程度から自動で入力されます）</t>
    <rPh sb="0" eb="3">
      <t>ショウガイシャ</t>
    </rPh>
    <rPh sb="3" eb="5">
      <t>コウジョ</t>
    </rPh>
    <rPh sb="6" eb="8">
      <t>クブン</t>
    </rPh>
    <rPh sb="9" eb="11">
      <t>ショウガイ</t>
    </rPh>
    <rPh sb="12" eb="14">
      <t>テイド</t>
    </rPh>
    <rPh sb="16" eb="18">
      <t>ジドウ</t>
    </rPh>
    <rPh sb="19" eb="21">
      <t>ニュウリョク</t>
    </rPh>
    <phoneticPr fontId="37"/>
  </si>
  <si>
    <t>仕事をしている方は、職業業種を入力してください。雇用されている方は会社員等、個人事業者の方は事業の内容を具体的に記入してください（青果小売業、自動車板金塗装業など）。</t>
    <rPh sb="0" eb="2">
      <t>シゴト</t>
    </rPh>
    <rPh sb="7" eb="8">
      <t>カタ</t>
    </rPh>
    <rPh sb="10" eb="12">
      <t>ショクギョウ</t>
    </rPh>
    <rPh sb="12" eb="14">
      <t>ギョウシュ</t>
    </rPh>
    <rPh sb="15" eb="17">
      <t>ニュウリョク</t>
    </rPh>
    <rPh sb="24" eb="26">
      <t>コヨウ</t>
    </rPh>
    <rPh sb="31" eb="32">
      <t>カタ</t>
    </rPh>
    <rPh sb="33" eb="35">
      <t>カイシャ</t>
    </rPh>
    <rPh sb="35" eb="36">
      <t>イン</t>
    </rPh>
    <rPh sb="36" eb="37">
      <t>トウ</t>
    </rPh>
    <rPh sb="38" eb="40">
      <t>コジン</t>
    </rPh>
    <rPh sb="40" eb="43">
      <t>ジギョウシャ</t>
    </rPh>
    <rPh sb="44" eb="45">
      <t>カタ</t>
    </rPh>
    <rPh sb="46" eb="48">
      <t>ジギョウ</t>
    </rPh>
    <rPh sb="49" eb="51">
      <t>ナイヨウ</t>
    </rPh>
    <rPh sb="52" eb="55">
      <t>グタイテキ</t>
    </rPh>
    <rPh sb="56" eb="58">
      <t>キニュウ</t>
    </rPh>
    <rPh sb="65" eb="67">
      <t>セイカ</t>
    </rPh>
    <rPh sb="67" eb="70">
      <t>コウリギョウ</t>
    </rPh>
    <rPh sb="71" eb="74">
      <t>ジドウシャ</t>
    </rPh>
    <rPh sb="74" eb="76">
      <t>バンキン</t>
    </rPh>
    <rPh sb="76" eb="78">
      <t>トソウ</t>
    </rPh>
    <rPh sb="78" eb="79">
      <t>ギョウ</t>
    </rPh>
    <phoneticPr fontId="37"/>
  </si>
  <si>
    <t>個人事業者の方で屋号や雅号がある場合に入力してください。</t>
    <rPh sb="0" eb="2">
      <t>コジン</t>
    </rPh>
    <rPh sb="2" eb="5">
      <t>ジギョウシャ</t>
    </rPh>
    <rPh sb="6" eb="7">
      <t>カタ</t>
    </rPh>
    <rPh sb="11" eb="12">
      <t>ミヤビ</t>
    </rPh>
    <rPh sb="12" eb="13">
      <t>ゴウ</t>
    </rPh>
    <rPh sb="16" eb="18">
      <t>バアイ</t>
    </rPh>
    <rPh sb="19" eb="21">
      <t>ニュウリョク</t>
    </rPh>
    <phoneticPr fontId="37"/>
  </si>
  <si>
    <t>１９．</t>
    <phoneticPr fontId="37"/>
  </si>
  <si>
    <t>収入がなかった方は、以下について入力をお願いいたします。すべてを入力する必要はありませんが、少なくともいずれか１つは入力してください。</t>
    <rPh sb="0" eb="2">
      <t>シュウニュウ</t>
    </rPh>
    <rPh sb="7" eb="8">
      <t>カタ</t>
    </rPh>
    <rPh sb="10" eb="12">
      <t>イカ</t>
    </rPh>
    <rPh sb="16" eb="18">
      <t>ニュウリョク</t>
    </rPh>
    <rPh sb="20" eb="21">
      <t>ネガ</t>
    </rPh>
    <rPh sb="32" eb="34">
      <t>ニュウリョク</t>
    </rPh>
    <rPh sb="36" eb="38">
      <t>ヒツヨウ</t>
    </rPh>
    <rPh sb="46" eb="47">
      <t>スク</t>
    </rPh>
    <rPh sb="58" eb="60">
      <t>ニュウリョク</t>
    </rPh>
    <phoneticPr fontId="37"/>
  </si>
  <si>
    <t>親族や知人等から扶養されていた場合や援助、仕送りを受けていた方は該当の方を入力してください（複数いる場合は主の方を入力してください）。</t>
    <rPh sb="0" eb="2">
      <t>シンゾク</t>
    </rPh>
    <rPh sb="3" eb="5">
      <t>チジン</t>
    </rPh>
    <rPh sb="5" eb="6">
      <t>トウ</t>
    </rPh>
    <rPh sb="8" eb="10">
      <t>フヨウ</t>
    </rPh>
    <rPh sb="15" eb="17">
      <t>バアイ</t>
    </rPh>
    <rPh sb="18" eb="20">
      <t>エンジョ</t>
    </rPh>
    <rPh sb="21" eb="23">
      <t>シオク</t>
    </rPh>
    <rPh sb="25" eb="26">
      <t>ウ</t>
    </rPh>
    <rPh sb="30" eb="31">
      <t>カタ</t>
    </rPh>
    <rPh sb="32" eb="34">
      <t>ガイトウ</t>
    </rPh>
    <rPh sb="35" eb="36">
      <t>カタ</t>
    </rPh>
    <rPh sb="37" eb="39">
      <t>ニュウリョク</t>
    </rPh>
    <rPh sb="46" eb="48">
      <t>フクスウ</t>
    </rPh>
    <rPh sb="50" eb="52">
      <t>バアイ</t>
    </rPh>
    <rPh sb="53" eb="54">
      <t>シュ</t>
    </rPh>
    <rPh sb="55" eb="56">
      <t>カタ</t>
    </rPh>
    <rPh sb="57" eb="59">
      <t>ニュウリョク</t>
    </rPh>
    <phoneticPr fontId="37"/>
  </si>
  <si>
    <r>
      <t>市民税・県民税の課税対象でない以下の収入があった方や預貯金で生活していた方は、該当の□を</t>
    </r>
    <r>
      <rPr>
        <sz val="11"/>
        <rFont val="ＭＳ 明朝"/>
        <family val="1"/>
        <charset val="128"/>
      </rPr>
      <t>■</t>
    </r>
    <r>
      <rPr>
        <sz val="11"/>
        <rFont val="Meiryo UI"/>
        <family val="3"/>
        <charset val="128"/>
      </rPr>
      <t>にしてください。</t>
    </r>
    <rPh sb="0" eb="3">
      <t>シミンゼイ</t>
    </rPh>
    <rPh sb="4" eb="7">
      <t>ケンミンゼイ</t>
    </rPh>
    <rPh sb="7" eb="10">
      <t>シケンミンゼイ</t>
    </rPh>
    <rPh sb="8" eb="10">
      <t>カゼイ</t>
    </rPh>
    <rPh sb="10" eb="12">
      <t>タイショウ</t>
    </rPh>
    <rPh sb="15" eb="17">
      <t>イカ</t>
    </rPh>
    <rPh sb="18" eb="20">
      <t>シュウニュウ</t>
    </rPh>
    <rPh sb="24" eb="25">
      <t>カタ</t>
    </rPh>
    <rPh sb="26" eb="29">
      <t>ヨチョキン</t>
    </rPh>
    <rPh sb="30" eb="32">
      <t>セイカツ</t>
    </rPh>
    <rPh sb="36" eb="37">
      <t>カタ</t>
    </rPh>
    <rPh sb="39" eb="41">
      <t>ガイトウ</t>
    </rPh>
    <phoneticPr fontId="37"/>
  </si>
  <si>
    <t>その他を選択した方は、（　）内に状況を入力してください。</t>
    <rPh sb="2" eb="3">
      <t>タ</t>
    </rPh>
    <rPh sb="4" eb="6">
      <t>センタク</t>
    </rPh>
    <rPh sb="8" eb="9">
      <t>カタ</t>
    </rPh>
    <rPh sb="14" eb="15">
      <t>ナイ</t>
    </rPh>
    <rPh sb="16" eb="18">
      <t>ジョウキョウ</t>
    </rPh>
    <rPh sb="19" eb="21">
      <t>ニュウリョク</t>
    </rPh>
    <phoneticPr fontId="37"/>
  </si>
  <si>
    <t>上で選択した収入について受給期間が決まっている場合に期間を入力してください。</t>
    <rPh sb="0" eb="1">
      <t>ウエ</t>
    </rPh>
    <rPh sb="2" eb="4">
      <t>センタク</t>
    </rPh>
    <rPh sb="6" eb="8">
      <t>シュウニュウ</t>
    </rPh>
    <rPh sb="12" eb="14">
      <t>ジュキュウ</t>
    </rPh>
    <rPh sb="14" eb="16">
      <t>キカン</t>
    </rPh>
    <rPh sb="17" eb="18">
      <t>キ</t>
    </rPh>
    <rPh sb="23" eb="25">
      <t>バアイ</t>
    </rPh>
    <rPh sb="26" eb="28">
      <t>キカン</t>
    </rPh>
    <rPh sb="29" eb="31">
      <t>ニュウリョク</t>
    </rPh>
    <phoneticPr fontId="37"/>
  </si>
  <si>
    <t>３．</t>
    <phoneticPr fontId="37"/>
  </si>
  <si>
    <t>6-1</t>
    <phoneticPr fontId="37"/>
  </si>
  <si>
    <t>6-2</t>
    <phoneticPr fontId="37"/>
  </si>
  <si>
    <t>7 ．</t>
    <phoneticPr fontId="37"/>
  </si>
  <si>
    <t>7-1</t>
    <phoneticPr fontId="37"/>
  </si>
  <si>
    <t>7-2</t>
    <phoneticPr fontId="37"/>
  </si>
  <si>
    <t>7-3</t>
    <phoneticPr fontId="37"/>
  </si>
  <si>
    <t>９．</t>
    <phoneticPr fontId="37"/>
  </si>
  <si>
    <t>１０．</t>
    <phoneticPr fontId="37"/>
  </si>
  <si>
    <t>（市民税・県民税申告書をデータ送信や電子メールへのファイル添付により提出することはできません。）</t>
    <rPh sb="1" eb="4">
      <t>シミンゼイ</t>
    </rPh>
    <rPh sb="5" eb="8">
      <t>ケンミンゼイ</t>
    </rPh>
    <rPh sb="8" eb="11">
      <t>シンコクショ</t>
    </rPh>
    <rPh sb="15" eb="17">
      <t>ソウシン</t>
    </rPh>
    <rPh sb="18" eb="20">
      <t>デンシ</t>
    </rPh>
    <rPh sb="29" eb="31">
      <t>テンプ</t>
    </rPh>
    <rPh sb="34" eb="36">
      <t>テイシュツ</t>
    </rPh>
    <phoneticPr fontId="37"/>
  </si>
  <si>
    <t>入力しなくても問題なし、どんな文字でも入力可。MS明朝</t>
    <rPh sb="25" eb="27">
      <t>ミンチョウ</t>
    </rPh>
    <phoneticPr fontId="37"/>
  </si>
  <si>
    <t>申告をする方の生年月日を入力してください。元号または西暦を選択し、年月日は半角数字のみで入力してください。</t>
    <rPh sb="0" eb="2">
      <t>シンコク</t>
    </rPh>
    <rPh sb="5" eb="6">
      <t>カタ</t>
    </rPh>
    <rPh sb="7" eb="9">
      <t>セイネン</t>
    </rPh>
    <rPh sb="9" eb="11">
      <t>ガッピ</t>
    </rPh>
    <rPh sb="12" eb="14">
      <t>ニュウリョク</t>
    </rPh>
    <rPh sb="21" eb="23">
      <t>ゲンゴウ</t>
    </rPh>
    <rPh sb="26" eb="28">
      <t>セイレキ</t>
    </rPh>
    <rPh sb="29" eb="31">
      <t>センタク</t>
    </rPh>
    <rPh sb="33" eb="36">
      <t>ネンガッピ</t>
    </rPh>
    <rPh sb="37" eb="39">
      <t>ハンカク</t>
    </rPh>
    <rPh sb="39" eb="41">
      <t>スウジ</t>
    </rPh>
    <rPh sb="44" eb="46">
      <t>ニュウリョク</t>
    </rPh>
    <phoneticPr fontId="37"/>
  </si>
  <si>
    <t>入力しなくても問題なし、どんな文字でも入力可。</t>
    <phoneticPr fontId="37"/>
  </si>
  <si>
    <t>※特定支出控除に非対応</t>
    <rPh sb="1" eb="3">
      <t>トクテイ</t>
    </rPh>
    <rPh sb="3" eb="5">
      <t>シシュツ</t>
    </rPh>
    <rPh sb="5" eb="7">
      <t>コウジョ</t>
    </rPh>
    <rPh sb="8" eb="11">
      <t>ヒタイオウ</t>
    </rPh>
    <phoneticPr fontId="37"/>
  </si>
  <si>
    <t>勤務先情報</t>
    <phoneticPr fontId="37"/>
  </si>
  <si>
    <t>省略</t>
    <rPh sb="0" eb="2">
      <t>ショウリャク</t>
    </rPh>
    <phoneticPr fontId="37"/>
  </si>
  <si>
    <t>国民健康保険税（料）、年金、介護、後期高齢のみリストで作成。その他はその他でまとめる形。</t>
    <rPh sb="17" eb="19">
      <t>コウキ</t>
    </rPh>
    <rPh sb="19" eb="21">
      <t>コウレイ</t>
    </rPh>
    <phoneticPr fontId="37"/>
  </si>
  <si>
    <t>G5,G6</t>
    <phoneticPr fontId="37"/>
  </si>
  <si>
    <t>社会保険料の種類</t>
    <rPh sb="6" eb="8">
      <t>シュルイ</t>
    </rPh>
    <phoneticPr fontId="37"/>
  </si>
  <si>
    <t>※</t>
    <phoneticPr fontId="37"/>
  </si>
  <si>
    <t>I-L15
I-L19
I-L23
I-L27</t>
    <phoneticPr fontId="37"/>
  </si>
  <si>
    <t>入力しなくても問題なし、どんな文字でも入力可。氏名はMS明朝</t>
    <rPh sb="23" eb="25">
      <t>シメイ</t>
    </rPh>
    <rPh sb="28" eb="30">
      <t>ミンチョウ</t>
    </rPh>
    <phoneticPr fontId="37"/>
  </si>
  <si>
    <t>障害の程度</t>
    <phoneticPr fontId="37"/>
  </si>
  <si>
    <t>フリガナ・氏名</t>
    <phoneticPr fontId="37"/>
  </si>
  <si>
    <t>同居／別居</t>
    <phoneticPr fontId="37"/>
  </si>
  <si>
    <t>控除区分</t>
    <rPh sb="0" eb="2">
      <t>コウジョ</t>
    </rPh>
    <rPh sb="2" eb="4">
      <t>クブン</t>
    </rPh>
    <phoneticPr fontId="37"/>
  </si>
  <si>
    <t>自動選択、リストにない理由で障害者・特別障害者にしたい人ようにリストの「その他事由により●●」を入れています。</t>
    <rPh sb="0" eb="2">
      <t>ジドウ</t>
    </rPh>
    <rPh sb="2" eb="4">
      <t>センタク</t>
    </rPh>
    <rPh sb="11" eb="13">
      <t>リユウ</t>
    </rPh>
    <rPh sb="14" eb="17">
      <t>ショウガイシャ</t>
    </rPh>
    <rPh sb="18" eb="20">
      <t>トクベツ</t>
    </rPh>
    <rPh sb="20" eb="23">
      <t>ショウガイシャ</t>
    </rPh>
    <rPh sb="27" eb="28">
      <t>ヒト</t>
    </rPh>
    <rPh sb="38" eb="39">
      <t>タ</t>
    </rPh>
    <rPh sb="39" eb="41">
      <t>ジユウ</t>
    </rPh>
    <rPh sb="48" eb="49">
      <t>イ</t>
    </rPh>
    <phoneticPr fontId="37"/>
  </si>
  <si>
    <t>※障害者控除3人以上は対応できていません。</t>
    <rPh sb="1" eb="4">
      <t>ショウガイシャ</t>
    </rPh>
    <rPh sb="4" eb="6">
      <t>コウジョ</t>
    </rPh>
    <rPh sb="7" eb="10">
      <t>ニンイジョウ</t>
    </rPh>
    <rPh sb="11" eb="13">
      <t>タイオウ</t>
    </rPh>
    <phoneticPr fontId="37"/>
  </si>
  <si>
    <t>寡婦ひとり親</t>
    <phoneticPr fontId="37"/>
  </si>
  <si>
    <t>寡婦理由</t>
    <phoneticPr fontId="37"/>
  </si>
  <si>
    <t>勤労学生控除</t>
    <phoneticPr fontId="37"/>
  </si>
  <si>
    <t>学校名</t>
    <phoneticPr fontId="37"/>
  </si>
  <si>
    <t>該当する方を選択。両方選択すると、注意表示する。両方選択した場合は、ひとり親を満たしていることを優先して、ひとり親控除としています。</t>
    <phoneticPr fontId="37"/>
  </si>
  <si>
    <t>選択、寡婦で選択していなくても何も表示されません。</t>
    <rPh sb="3" eb="5">
      <t>カフ</t>
    </rPh>
    <rPh sb="6" eb="8">
      <t>センタク</t>
    </rPh>
    <rPh sb="15" eb="16">
      <t>ナニ</t>
    </rPh>
    <rPh sb="17" eb="19">
      <t>ヒョウジ</t>
    </rPh>
    <phoneticPr fontId="37"/>
  </si>
  <si>
    <t>都道府県、市区町村分（特例控除対象（ふるさと納税））</t>
    <rPh sb="22" eb="24">
      <t>ノウゼイ</t>
    </rPh>
    <phoneticPr fontId="37"/>
  </si>
  <si>
    <t>配当計算書や特定口座年間取引報告書等の写しを提出してください。</t>
    <rPh sb="0" eb="2">
      <t>ハイトウ</t>
    </rPh>
    <rPh sb="2" eb="5">
      <t>ケイサンショ</t>
    </rPh>
    <rPh sb="6" eb="8">
      <t>トクテイ</t>
    </rPh>
    <rPh sb="8" eb="10">
      <t>コウザ</t>
    </rPh>
    <rPh sb="10" eb="12">
      <t>ネンカン</t>
    </rPh>
    <rPh sb="12" eb="14">
      <t>トリヒキ</t>
    </rPh>
    <rPh sb="14" eb="17">
      <t>ホウコクショ</t>
    </rPh>
    <rPh sb="17" eb="18">
      <t>トウ</t>
    </rPh>
    <rPh sb="19" eb="20">
      <t>ウツ</t>
    </rPh>
    <rPh sb="22" eb="24">
      <t>テイシュツ</t>
    </rPh>
    <phoneticPr fontId="37"/>
  </si>
  <si>
    <t>はじめに</t>
    <phoneticPr fontId="37"/>
  </si>
  <si>
    <t>DATEVLUEでG6を処理し、yyyymmddの表示とした後に、VALUEで数字に変換する。この処理ができなくてエラーになった人を空白で返す。</t>
    <rPh sb="12" eb="14">
      <t>ショリ</t>
    </rPh>
    <rPh sb="25" eb="27">
      <t>ヒョウジ</t>
    </rPh>
    <rPh sb="30" eb="31">
      <t>アト</t>
    </rPh>
    <rPh sb="39" eb="41">
      <t>スウジ</t>
    </rPh>
    <rPh sb="42" eb="44">
      <t>ヘンカン</t>
    </rPh>
    <rPh sb="49" eb="51">
      <t>ショリ</t>
    </rPh>
    <rPh sb="64" eb="65">
      <t>ヒト</t>
    </rPh>
    <rPh sb="66" eb="68">
      <t>クウハク</t>
    </rPh>
    <rPh sb="69" eb="70">
      <t>カエ</t>
    </rPh>
    <phoneticPr fontId="37"/>
  </si>
  <si>
    <t>↑年に1000未満の数字を入力したら和暦&amp;年を返し、該当しなければ空白</t>
    <rPh sb="1" eb="2">
      <t>ネン</t>
    </rPh>
    <rPh sb="7" eb="9">
      <t>ミマン</t>
    </rPh>
    <rPh sb="10" eb="12">
      <t>スウジ</t>
    </rPh>
    <rPh sb="13" eb="15">
      <t>ニュウリョク</t>
    </rPh>
    <rPh sb="18" eb="20">
      <t>ワレキ</t>
    </rPh>
    <rPh sb="21" eb="22">
      <t>ネン</t>
    </rPh>
    <rPh sb="23" eb="24">
      <t>カエ</t>
    </rPh>
    <rPh sb="26" eb="28">
      <t>ガイトウ</t>
    </rPh>
    <rPh sb="33" eb="35">
      <t>クウハク</t>
    </rPh>
    <phoneticPr fontId="37"/>
  </si>
  <si>
    <t>↑西暦を選択、または、年に1000以上を入力したら年を返し、該当しなければ空白</t>
    <rPh sb="1" eb="3">
      <t>せいれき</t>
    </rPh>
    <rPh sb="4" eb="6">
      <t>せんたく</t>
    </rPh>
    <rPh sb="11" eb="12">
      <t>ねん</t>
    </rPh>
    <rPh sb="17" eb="19">
      <t>いじょう</t>
    </rPh>
    <rPh sb="20" eb="22">
      <t>にゅうりょく</t>
    </rPh>
    <rPh sb="25" eb="26">
      <t>ねん</t>
    </rPh>
    <rPh sb="27" eb="28">
      <t>かえ</t>
    </rPh>
    <rPh sb="30" eb="32">
      <t>がいとう</t>
    </rPh>
    <rPh sb="37" eb="39">
      <t>くうはく</t>
    </rPh>
    <phoneticPr fontId="2" type="noConversion"/>
  </si>
  <si>
    <t>↑C6-F6を参照して生年月日を年月日の順で表示</t>
    <rPh sb="7" eb="9">
      <t>サンショウ</t>
    </rPh>
    <rPh sb="11" eb="13">
      <t>セイネン</t>
    </rPh>
    <rPh sb="13" eb="15">
      <t>ガッピ</t>
    </rPh>
    <rPh sb="16" eb="19">
      <t>ネンガッピ</t>
    </rPh>
    <rPh sb="20" eb="21">
      <t>ジュン</t>
    </rPh>
    <rPh sb="22" eb="24">
      <t>ヒョウジ</t>
    </rPh>
    <phoneticPr fontId="37"/>
  </si>
  <si>
    <t>文字入力そのまま。表示形式を0#としているだけ。</t>
    <rPh sb="0" eb="2">
      <t>モジ</t>
    </rPh>
    <rPh sb="2" eb="4">
      <t>ニュウリョク</t>
    </rPh>
    <rPh sb="9" eb="11">
      <t>ヒョウジ</t>
    </rPh>
    <rPh sb="11" eb="13">
      <t>ケイシキ</t>
    </rPh>
    <phoneticPr fontId="37"/>
  </si>
  <si>
    <t>↑所得計算の式をIF関数で組み上げているだけです。</t>
    <rPh sb="1" eb="3">
      <t>ショトク</t>
    </rPh>
    <rPh sb="3" eb="5">
      <t>ケイサン</t>
    </rPh>
    <rPh sb="6" eb="7">
      <t>シキ</t>
    </rPh>
    <rPh sb="10" eb="12">
      <t>カンスウ</t>
    </rPh>
    <rPh sb="13" eb="14">
      <t>ク</t>
    </rPh>
    <rPh sb="15" eb="16">
      <t>ア</t>
    </rPh>
    <phoneticPr fontId="37"/>
  </si>
  <si>
    <t>↑給与・年金のD12+Q18</t>
    <rPh sb="1" eb="3">
      <t>キュウヨ</t>
    </rPh>
    <rPh sb="4" eb="6">
      <t>ネンキン</t>
    </rPh>
    <phoneticPr fontId="37"/>
  </si>
  <si>
    <t>↑給与・年金のH7</t>
    <rPh sb="1" eb="3">
      <t>キュウヨ</t>
    </rPh>
    <rPh sb="4" eb="6">
      <t>ネンキン</t>
    </rPh>
    <phoneticPr fontId="37"/>
  </si>
  <si>
    <t>↑給与・年金のH12</t>
    <rPh sb="1" eb="3">
      <t>キュウヨ</t>
    </rPh>
    <rPh sb="4" eb="6">
      <t>ネンキン</t>
    </rPh>
    <phoneticPr fontId="37"/>
  </si>
  <si>
    <t>一般給与収入</t>
    <rPh sb="0" eb="2">
      <t>イッパン</t>
    </rPh>
    <rPh sb="2" eb="4">
      <t>キュウヨ</t>
    </rPh>
    <rPh sb="4" eb="6">
      <t>シュウニュウ</t>
    </rPh>
    <phoneticPr fontId="37"/>
  </si>
  <si>
    <t>↑調整控除を選択し、かつ、F12が8,500,000超なら、F12から8,500,000を引いた金額×10%と150,000のいずれか小さい金額を返す。条件に合わなければ0。</t>
    <rPh sb="1" eb="3">
      <t>チョウセイ</t>
    </rPh>
    <rPh sb="3" eb="5">
      <t>コウジョ</t>
    </rPh>
    <rPh sb="6" eb="8">
      <t>センタク</t>
    </rPh>
    <rPh sb="26" eb="27">
      <t>チョウ</t>
    </rPh>
    <rPh sb="45" eb="46">
      <t>ヒ</t>
    </rPh>
    <rPh sb="48" eb="50">
      <t>キンガク</t>
    </rPh>
    <rPh sb="67" eb="68">
      <t>チイ</t>
    </rPh>
    <rPh sb="70" eb="72">
      <t>キンガク</t>
    </rPh>
    <rPh sb="73" eb="74">
      <t>カエ</t>
    </rPh>
    <rPh sb="76" eb="78">
      <t>ジョウケン</t>
    </rPh>
    <rPh sb="79" eb="80">
      <t>ア</t>
    </rPh>
    <phoneticPr fontId="37"/>
  </si>
  <si>
    <t>↑上段は65歳未満の時の所得、下段は65歳以上の所得を計算する式をIF関数で組み上げただけ。</t>
    <rPh sb="1" eb="3">
      <t>ジョウダン</t>
    </rPh>
    <rPh sb="6" eb="7">
      <t>サイ</t>
    </rPh>
    <rPh sb="7" eb="9">
      <t>ミマン</t>
    </rPh>
    <rPh sb="10" eb="11">
      <t>トキ</t>
    </rPh>
    <rPh sb="12" eb="14">
      <t>ショトク</t>
    </rPh>
    <rPh sb="15" eb="17">
      <t>ゲダン</t>
    </rPh>
    <rPh sb="20" eb="21">
      <t>サイ</t>
    </rPh>
    <rPh sb="21" eb="23">
      <t>イジョウ</t>
    </rPh>
    <rPh sb="24" eb="26">
      <t>ショトク</t>
    </rPh>
    <rPh sb="27" eb="29">
      <t>ケイサン</t>
    </rPh>
    <rPh sb="31" eb="32">
      <t>シキ</t>
    </rPh>
    <rPh sb="35" eb="37">
      <t>カンスウ</t>
    </rPh>
    <rPh sb="38" eb="39">
      <t>ク</t>
    </rPh>
    <rPh sb="40" eb="41">
      <t>ア</t>
    </rPh>
    <phoneticPr fontId="37"/>
  </si>
  <si>
    <t>↑給与調整控除(子育て介護)後所得+その他の総合課税所得の和</t>
    <rPh sb="22" eb="24">
      <t>ソウゴウ</t>
    </rPh>
    <rPh sb="24" eb="26">
      <t>カゼイ</t>
    </rPh>
    <rPh sb="26" eb="28">
      <t>ショトク</t>
    </rPh>
    <rPh sb="29" eb="30">
      <t>ワ</t>
    </rPh>
    <phoneticPr fontId="37"/>
  </si>
  <si>
    <t>短期差引金額</t>
    <rPh sb="0" eb="2">
      <t>タンキ</t>
    </rPh>
    <rPh sb="2" eb="3">
      <t>サ</t>
    </rPh>
    <rPh sb="3" eb="4">
      <t>ヒ</t>
    </rPh>
    <rPh sb="4" eb="6">
      <t>キンガク</t>
    </rPh>
    <phoneticPr fontId="37"/>
  </si>
  <si>
    <t>長期差引金額</t>
    <rPh sb="0" eb="2">
      <t>チョウキ</t>
    </rPh>
    <rPh sb="2" eb="4">
      <t>サシヒキ</t>
    </rPh>
    <rPh sb="4" eb="6">
      <t>キンガク</t>
    </rPh>
    <phoneticPr fontId="37"/>
  </si>
  <si>
    <t>一時差引金額</t>
    <rPh sb="0" eb="2">
      <t>イチジ</t>
    </rPh>
    <rPh sb="2" eb="4">
      <t>サシヒキ</t>
    </rPh>
    <rPh sb="4" eb="6">
      <t>キンガク</t>
    </rPh>
    <phoneticPr fontId="37"/>
  </si>
  <si>
    <t>短期特別控除額</t>
    <rPh sb="0" eb="2">
      <t>タンキ</t>
    </rPh>
    <rPh sb="2" eb="4">
      <t>トクベツ</t>
    </rPh>
    <rPh sb="4" eb="6">
      <t>コウジョ</t>
    </rPh>
    <rPh sb="6" eb="7">
      <t>ガク</t>
    </rPh>
    <phoneticPr fontId="37"/>
  </si>
  <si>
    <t>短期所得金額</t>
    <rPh sb="0" eb="2">
      <t>タンキ</t>
    </rPh>
    <rPh sb="2" eb="4">
      <t>ショトク</t>
    </rPh>
    <rPh sb="4" eb="6">
      <t>キンガク</t>
    </rPh>
    <phoneticPr fontId="37"/>
  </si>
  <si>
    <t>長期特別控除</t>
    <rPh sb="0" eb="2">
      <t>チョウキ</t>
    </rPh>
    <rPh sb="2" eb="4">
      <t>トクベツ</t>
    </rPh>
    <rPh sb="4" eb="6">
      <t>コウジョ</t>
    </rPh>
    <phoneticPr fontId="37"/>
  </si>
  <si>
    <t>長期所得金額</t>
    <rPh sb="0" eb="2">
      <t>チョウキ</t>
    </rPh>
    <rPh sb="2" eb="4">
      <t>ショトク</t>
    </rPh>
    <rPh sb="4" eb="6">
      <t>キンガク</t>
    </rPh>
    <phoneticPr fontId="37"/>
  </si>
  <si>
    <t>一時特別控除</t>
    <rPh sb="0" eb="2">
      <t>イチジ</t>
    </rPh>
    <rPh sb="2" eb="4">
      <t>トクベツ</t>
    </rPh>
    <rPh sb="4" eb="6">
      <t>コウジョ</t>
    </rPh>
    <phoneticPr fontId="37"/>
  </si>
  <si>
    <t>一時所得金額</t>
    <rPh sb="0" eb="2">
      <t>イチジ</t>
    </rPh>
    <rPh sb="2" eb="4">
      <t>ショトク</t>
    </rPh>
    <rPh sb="4" eb="6">
      <t>キンガク</t>
    </rPh>
    <phoneticPr fontId="37"/>
  </si>
  <si>
    <t>総合譲渡・一時に記載する金額</t>
    <rPh sb="0" eb="2">
      <t>ソウゴウ</t>
    </rPh>
    <rPh sb="2" eb="4">
      <t>ジョウト</t>
    </rPh>
    <rPh sb="5" eb="7">
      <t>イチジ</t>
    </rPh>
    <rPh sb="8" eb="10">
      <t>キサイ</t>
    </rPh>
    <rPh sb="12" eb="14">
      <t>キンガク</t>
    </rPh>
    <phoneticPr fontId="37"/>
  </si>
  <si>
    <t>↑収入-経費</t>
    <rPh sb="1" eb="3">
      <t>シュウニュウ</t>
    </rPh>
    <rPh sb="4" eb="6">
      <t>ケイヒ</t>
    </rPh>
    <phoneticPr fontId="37"/>
  </si>
  <si>
    <t>総合譲渡短期・長期、一時所得</t>
    <rPh sb="0" eb="2">
      <t>ソウゴウ</t>
    </rPh>
    <rPh sb="2" eb="4">
      <t>ジョウト</t>
    </rPh>
    <rPh sb="4" eb="6">
      <t>タンキ</t>
    </rPh>
    <rPh sb="7" eb="9">
      <t>チョウキ</t>
    </rPh>
    <rPh sb="10" eb="12">
      <t>イチジ</t>
    </rPh>
    <rPh sb="12" eb="14">
      <t>ショトク</t>
    </rPh>
    <phoneticPr fontId="37"/>
  </si>
  <si>
    <t>「生命保険の新のみ、旧のみ、新+旧でもっとも高い額」と「個人年金の新のみ、旧のみ、新+旧でもっとも高い額」と介護保険料分を足した額と70,000のいずれか小さい方を返す。</t>
    <rPh sb="1" eb="3">
      <t>セイメイ</t>
    </rPh>
    <rPh sb="3" eb="5">
      <t>ホケン</t>
    </rPh>
    <rPh sb="6" eb="7">
      <t>シン</t>
    </rPh>
    <rPh sb="10" eb="11">
      <t>キュウ</t>
    </rPh>
    <rPh sb="14" eb="15">
      <t>シン</t>
    </rPh>
    <rPh sb="16" eb="17">
      <t>キュウ</t>
    </rPh>
    <rPh sb="22" eb="23">
      <t>タカ</t>
    </rPh>
    <rPh sb="24" eb="25">
      <t>ガク</t>
    </rPh>
    <rPh sb="28" eb="30">
      <t>コジン</t>
    </rPh>
    <rPh sb="30" eb="32">
      <t>ネンキン</t>
    </rPh>
    <rPh sb="54" eb="56">
      <t>カイゴ</t>
    </rPh>
    <rPh sb="56" eb="59">
      <t>ホケンリョウ</t>
    </rPh>
    <rPh sb="59" eb="60">
      <t>ブン</t>
    </rPh>
    <rPh sb="61" eb="62">
      <t>タ</t>
    </rPh>
    <rPh sb="64" eb="65">
      <t>ガク</t>
    </rPh>
    <rPh sb="77" eb="78">
      <t>チイ</t>
    </rPh>
    <rPh sb="80" eb="81">
      <t>ホウ</t>
    </rPh>
    <rPh sb="82" eb="83">
      <t>カエ</t>
    </rPh>
    <phoneticPr fontId="37"/>
  </si>
  <si>
    <t>新と旧を足した額と28,000のいずれか小さい額を返す。</t>
    <rPh sb="0" eb="1">
      <t>シン</t>
    </rPh>
    <rPh sb="2" eb="3">
      <t>キュウ</t>
    </rPh>
    <rPh sb="4" eb="5">
      <t>タ</t>
    </rPh>
    <rPh sb="7" eb="8">
      <t>ガク</t>
    </rPh>
    <rPh sb="20" eb="21">
      <t>チイ</t>
    </rPh>
    <rPh sb="23" eb="24">
      <t>ガク</t>
    </rPh>
    <rPh sb="25" eb="26">
      <t>カエ</t>
    </rPh>
    <phoneticPr fontId="37"/>
  </si>
  <si>
    <t>生命保険料控除の計算</t>
    <rPh sb="0" eb="2">
      <t>セイメイ</t>
    </rPh>
    <rPh sb="2" eb="4">
      <t>ホケン</t>
    </rPh>
    <rPh sb="4" eb="5">
      <t>リョウ</t>
    </rPh>
    <rPh sb="5" eb="7">
      <t>コウジョ</t>
    </rPh>
    <rPh sb="8" eb="10">
      <t>ケイサン</t>
    </rPh>
    <phoneticPr fontId="37"/>
  </si>
  <si>
    <t>地震保険料の計算</t>
    <rPh sb="0" eb="2">
      <t>ジシン</t>
    </rPh>
    <rPh sb="2" eb="5">
      <t>ホケンリョウ</t>
    </rPh>
    <rPh sb="6" eb="8">
      <t>ケイサン</t>
    </rPh>
    <phoneticPr fontId="37"/>
  </si>
  <si>
    <t>↑IF関数で計算式を組み上げ。小数点以下を繰り上げ。</t>
    <rPh sb="3" eb="5">
      <t>カンスウ</t>
    </rPh>
    <rPh sb="6" eb="9">
      <t>ケイサンシキ</t>
    </rPh>
    <rPh sb="10" eb="11">
      <t>ク</t>
    </rPh>
    <rPh sb="12" eb="13">
      <t>ア</t>
    </rPh>
    <rPh sb="15" eb="18">
      <t>ショウスウテン</t>
    </rPh>
    <rPh sb="18" eb="20">
      <t>イカ</t>
    </rPh>
    <rPh sb="21" eb="22">
      <t>ク</t>
    </rPh>
    <rPh sb="23" eb="24">
      <t>ア</t>
    </rPh>
    <phoneticPr fontId="37"/>
  </si>
  <si>
    <t>地震と旧長期の和と25,000のいずれか小さい方を返す。</t>
    <rPh sb="0" eb="2">
      <t>ジシン</t>
    </rPh>
    <rPh sb="3" eb="4">
      <t>キュウ</t>
    </rPh>
    <rPh sb="4" eb="6">
      <t>チョウキ</t>
    </rPh>
    <rPh sb="7" eb="8">
      <t>ワ</t>
    </rPh>
    <rPh sb="20" eb="21">
      <t>チイ</t>
    </rPh>
    <rPh sb="23" eb="24">
      <t>ホウ</t>
    </rPh>
    <rPh sb="25" eb="26">
      <t>カエ</t>
    </rPh>
    <phoneticPr fontId="37"/>
  </si>
  <si>
    <t>地震のみ、旧長期のみ、両方で最も額を大きいものを返す。</t>
    <rPh sb="0" eb="2">
      <t>ジシン</t>
    </rPh>
    <rPh sb="5" eb="6">
      <t>キュウ</t>
    </rPh>
    <rPh sb="6" eb="8">
      <t>チョウキ</t>
    </rPh>
    <rPh sb="11" eb="13">
      <t>リョウホウ</t>
    </rPh>
    <rPh sb="14" eb="15">
      <t>モット</t>
    </rPh>
    <rPh sb="16" eb="17">
      <t>ガク</t>
    </rPh>
    <rPh sb="18" eb="19">
      <t>オオ</t>
    </rPh>
    <rPh sb="24" eb="25">
      <t>カエ</t>
    </rPh>
    <phoneticPr fontId="37"/>
  </si>
  <si>
    <t>所得要件から配偶者控除の場合は、上表の配偶者控除の額を表示、非該当は0</t>
    <rPh sb="0" eb="2">
      <t>ショトク</t>
    </rPh>
    <rPh sb="2" eb="4">
      <t>ヨウケン</t>
    </rPh>
    <rPh sb="6" eb="9">
      <t>ハイグウシャ</t>
    </rPh>
    <rPh sb="9" eb="11">
      <t>コウジョ</t>
    </rPh>
    <rPh sb="12" eb="14">
      <t>バアイ</t>
    </rPh>
    <rPh sb="16" eb="17">
      <t>ウエ</t>
    </rPh>
    <rPh sb="17" eb="18">
      <t>ヒョウ</t>
    </rPh>
    <rPh sb="19" eb="22">
      <t>ハイグウシャ</t>
    </rPh>
    <rPh sb="22" eb="24">
      <t>コウジョ</t>
    </rPh>
    <rPh sb="25" eb="26">
      <t>ガク</t>
    </rPh>
    <rPh sb="27" eb="29">
      <t>ヒョウジ</t>
    </rPh>
    <rPh sb="30" eb="33">
      <t>ヒガイトウ</t>
    </rPh>
    <phoneticPr fontId="37"/>
  </si>
  <si>
    <t>一般</t>
    <rPh sb="0" eb="2">
      <t>イッパン</t>
    </rPh>
    <phoneticPr fontId="37"/>
  </si>
  <si>
    <t>↑C&amp;Dを返す。（VLOOKUPを使用するためこの位置にしています）</t>
    <rPh sb="5" eb="6">
      <t>カエ</t>
    </rPh>
    <phoneticPr fontId="37"/>
  </si>
  <si>
    <t>生年月日を&amp;で繋いで表示（申告書に表示させるだけなので、書式そのまま）</t>
    <rPh sb="0" eb="2">
      <t>セイネン</t>
    </rPh>
    <rPh sb="2" eb="4">
      <t>ガッピ</t>
    </rPh>
    <rPh sb="7" eb="8">
      <t>ツナ</t>
    </rPh>
    <rPh sb="10" eb="12">
      <t>ヒョウジ</t>
    </rPh>
    <rPh sb="13" eb="16">
      <t>シンコクショ</t>
    </rPh>
    <rPh sb="17" eb="19">
      <t>ヒョウジ</t>
    </rPh>
    <rPh sb="28" eb="30">
      <t>ショシキ</t>
    </rPh>
    <phoneticPr fontId="37"/>
  </si>
  <si>
    <t>障害者なら260,000、特別障害者なら300,000、当てはまらないなら0</t>
    <rPh sb="0" eb="3">
      <t>ショウガイシャ</t>
    </rPh>
    <rPh sb="13" eb="15">
      <t>トクベツ</t>
    </rPh>
    <rPh sb="15" eb="18">
      <t>ショウガイシャ</t>
    </rPh>
    <rPh sb="28" eb="29">
      <t>ア</t>
    </rPh>
    <phoneticPr fontId="37"/>
  </si>
  <si>
    <t>特別障害者かつ同居なら230,000、当てはまらないなら0</t>
    <rPh sb="0" eb="2">
      <t>トクベツ</t>
    </rPh>
    <rPh sb="2" eb="5">
      <t>ショウガイシャ</t>
    </rPh>
    <rPh sb="7" eb="9">
      <t>ドウキョ</t>
    </rPh>
    <rPh sb="19" eb="20">
      <t>ア</t>
    </rPh>
    <phoneticPr fontId="37"/>
  </si>
  <si>
    <t>ひとり親を選択し、かつ、合計所得金額5,000,000以下なら、300,000、寡婦を選択し、かつ、合計所得金額5,000,000以下なら、260,000、当てはまらないなら0を返す。</t>
    <rPh sb="3" eb="4">
      <t>オヤ</t>
    </rPh>
    <rPh sb="5" eb="7">
      <t>センタク</t>
    </rPh>
    <rPh sb="12" eb="14">
      <t>ゴウケイ</t>
    </rPh>
    <rPh sb="14" eb="16">
      <t>ショトク</t>
    </rPh>
    <rPh sb="16" eb="18">
      <t>キンガク</t>
    </rPh>
    <rPh sb="27" eb="29">
      <t>イカ</t>
    </rPh>
    <rPh sb="40" eb="42">
      <t>カフ</t>
    </rPh>
    <rPh sb="43" eb="45">
      <t>センタク</t>
    </rPh>
    <rPh sb="78" eb="79">
      <t>ア</t>
    </rPh>
    <rPh sb="89" eb="90">
      <t>カエ</t>
    </rPh>
    <phoneticPr fontId="37"/>
  </si>
  <si>
    <t>医療費控除額がセルフメディケーション税制控除額以上なら医療費控除額を返す。当てはまらないなら、セルフメディケーション税制を返す。</t>
    <rPh sb="0" eb="3">
      <t>イリョウヒ</t>
    </rPh>
    <rPh sb="3" eb="5">
      <t>コウジョ</t>
    </rPh>
    <rPh sb="5" eb="6">
      <t>ガク</t>
    </rPh>
    <rPh sb="18" eb="20">
      <t>ゼイセイ</t>
    </rPh>
    <rPh sb="20" eb="22">
      <t>コウジョ</t>
    </rPh>
    <rPh sb="22" eb="23">
      <t>ガク</t>
    </rPh>
    <rPh sb="23" eb="25">
      <t>イジョウ</t>
    </rPh>
    <rPh sb="27" eb="30">
      <t>イリョウヒ</t>
    </rPh>
    <rPh sb="30" eb="32">
      <t>コウジョ</t>
    </rPh>
    <rPh sb="32" eb="33">
      <t>ガク</t>
    </rPh>
    <rPh sb="34" eb="35">
      <t>カエ</t>
    </rPh>
    <rPh sb="37" eb="38">
      <t>ア</t>
    </rPh>
    <rPh sb="58" eb="60">
      <t>ゼイセイ</t>
    </rPh>
    <rPh sb="61" eb="62">
      <t>カエ</t>
    </rPh>
    <phoneticPr fontId="37"/>
  </si>
  <si>
    <t>↑それぞれ収入・控除の入力があるとき添付を返す。</t>
    <rPh sb="5" eb="7">
      <t>シュウニュウ</t>
    </rPh>
    <rPh sb="8" eb="10">
      <t>コウジョ</t>
    </rPh>
    <rPh sb="11" eb="13">
      <t>ニュウリョク</t>
    </rPh>
    <rPh sb="18" eb="20">
      <t>テンプ</t>
    </rPh>
    <rPh sb="21" eb="22">
      <t>カエ</t>
    </rPh>
    <phoneticPr fontId="37"/>
  </si>
  <si>
    <t>C&amp;Eを表示(VLOOKUPを使うためこの位置)</t>
    <rPh sb="4" eb="6">
      <t>ヒョウジ</t>
    </rPh>
    <rPh sb="15" eb="16">
      <t>ツカ</t>
    </rPh>
    <rPh sb="21" eb="23">
      <t>イチ</t>
    </rPh>
    <phoneticPr fontId="37"/>
  </si>
  <si>
    <t>空欄なら1～9を返し、空欄でないなら個人番号を返します。</t>
    <rPh sb="0" eb="2">
      <t>クウラン</t>
    </rPh>
    <rPh sb="8" eb="9">
      <t>カエ</t>
    </rPh>
    <rPh sb="11" eb="13">
      <t>クウラン</t>
    </rPh>
    <rPh sb="18" eb="20">
      <t>コジン</t>
    </rPh>
    <rPh sb="20" eb="22">
      <t>バンゴウ</t>
    </rPh>
    <rPh sb="23" eb="24">
      <t>カエ</t>
    </rPh>
    <phoneticPr fontId="37"/>
  </si>
  <si>
    <t>COUNTIFでそれぞれの番号と同じものがあれば1を返し、当てはまらなければ0を返す。</t>
    <rPh sb="13" eb="15">
      <t>バンゴウ</t>
    </rPh>
    <rPh sb="16" eb="17">
      <t>オナ</t>
    </rPh>
    <rPh sb="26" eb="27">
      <t>カエ</t>
    </rPh>
    <rPh sb="29" eb="30">
      <t>ア</t>
    </rPh>
    <rPh sb="40" eb="41">
      <t>カエ</t>
    </rPh>
    <phoneticPr fontId="37"/>
  </si>
  <si>
    <t>控除金額を修正する方はこちら</t>
    <rPh sb="0" eb="2">
      <t>コウジョ</t>
    </rPh>
    <rPh sb="2" eb="4">
      <t>キンガク</t>
    </rPh>
    <rPh sb="5" eb="7">
      <t>シュウセイ</t>
    </rPh>
    <rPh sb="9" eb="10">
      <t>カタ</t>
    </rPh>
    <phoneticPr fontId="37"/>
  </si>
  <si>
    <t>経費合計(売上原価含)</t>
    <rPh sb="0" eb="2">
      <t>ケイヒ</t>
    </rPh>
    <rPh sb="2" eb="4">
      <t>ゴウケイ</t>
    </rPh>
    <phoneticPr fontId="37"/>
  </si>
  <si>
    <t>→</t>
    <phoneticPr fontId="37"/>
  </si>
  <si>
    <t>申告者本人の合計所得金額</t>
    <rPh sb="0" eb="2">
      <t>シンコク</t>
    </rPh>
    <rPh sb="2" eb="3">
      <t>シャ</t>
    </rPh>
    <rPh sb="3" eb="5">
      <t>ホンニン</t>
    </rPh>
    <rPh sb="6" eb="8">
      <t>ゴウケイ</t>
    </rPh>
    <rPh sb="8" eb="10">
      <t>ショトク</t>
    </rPh>
    <rPh sb="10" eb="12">
      <t>キンガク</t>
    </rPh>
    <phoneticPr fontId="37"/>
  </si>
  <si>
    <t>合計所得～900</t>
    <rPh sb="0" eb="2">
      <t>ゴウケイ</t>
    </rPh>
    <rPh sb="2" eb="4">
      <t>ショトク</t>
    </rPh>
    <phoneticPr fontId="37"/>
  </si>
  <si>
    <t>合計所得900～950</t>
    <rPh sb="0" eb="2">
      <t>ゴウケイ</t>
    </rPh>
    <rPh sb="2" eb="4">
      <t>ショトク</t>
    </rPh>
    <phoneticPr fontId="37"/>
  </si>
  <si>
    <t>合計所得950～</t>
    <rPh sb="0" eb="2">
      <t>ゴウケイ</t>
    </rPh>
    <rPh sb="2" eb="4">
      <t>ショトク</t>
    </rPh>
    <phoneticPr fontId="37"/>
  </si>
  <si>
    <t>生年月日が空白のなら0,生年月日が年齢の境目以下で合計所得900万円以下なら380,000、生年月日が境目超なら330,000、当てはまらないなら0で返す。</t>
    <rPh sb="0" eb="2">
      <t>セイネン</t>
    </rPh>
    <rPh sb="2" eb="4">
      <t>ガッピ</t>
    </rPh>
    <rPh sb="5" eb="7">
      <t>クウハク</t>
    </rPh>
    <rPh sb="12" eb="14">
      <t>セイネン</t>
    </rPh>
    <rPh sb="14" eb="16">
      <t>ガッピ</t>
    </rPh>
    <rPh sb="17" eb="19">
      <t>ネンレイ</t>
    </rPh>
    <rPh sb="20" eb="22">
      <t>サカイメ</t>
    </rPh>
    <rPh sb="22" eb="24">
      <t>イカ</t>
    </rPh>
    <rPh sb="25" eb="27">
      <t>ゴウケイ</t>
    </rPh>
    <rPh sb="27" eb="29">
      <t>ショトク</t>
    </rPh>
    <rPh sb="32" eb="34">
      <t>マンエン</t>
    </rPh>
    <rPh sb="34" eb="36">
      <t>イカ</t>
    </rPh>
    <rPh sb="46" eb="48">
      <t>セイネン</t>
    </rPh>
    <rPh sb="48" eb="50">
      <t>ガッピ</t>
    </rPh>
    <rPh sb="51" eb="53">
      <t>サカイメ</t>
    </rPh>
    <rPh sb="53" eb="54">
      <t>チョウ</t>
    </rPh>
    <rPh sb="64" eb="65">
      <t>ア</t>
    </rPh>
    <rPh sb="75" eb="76">
      <t>カエ</t>
    </rPh>
    <phoneticPr fontId="37"/>
  </si>
  <si>
    <t>生年月日が空白のなら0,生年月日が年齢の境目以下で合計所得900万円超・950万円以下なら260,000、生年月日が境目超なら220,000、当てはまらないなら0で返す。</t>
    <rPh sb="0" eb="2">
      <t>セイネン</t>
    </rPh>
    <rPh sb="2" eb="4">
      <t>ガッピ</t>
    </rPh>
    <rPh sb="5" eb="7">
      <t>クウハク</t>
    </rPh>
    <rPh sb="12" eb="14">
      <t>セイネン</t>
    </rPh>
    <rPh sb="14" eb="16">
      <t>ガッピ</t>
    </rPh>
    <rPh sb="17" eb="19">
      <t>ネンレイ</t>
    </rPh>
    <rPh sb="20" eb="22">
      <t>サカイメ</t>
    </rPh>
    <rPh sb="22" eb="24">
      <t>イカ</t>
    </rPh>
    <rPh sb="25" eb="27">
      <t>ゴウケイ</t>
    </rPh>
    <rPh sb="27" eb="29">
      <t>ショトク</t>
    </rPh>
    <rPh sb="32" eb="34">
      <t>マンエン</t>
    </rPh>
    <rPh sb="34" eb="35">
      <t>チョウ</t>
    </rPh>
    <rPh sb="39" eb="41">
      <t>マンエン</t>
    </rPh>
    <rPh sb="41" eb="43">
      <t>イカ</t>
    </rPh>
    <rPh sb="53" eb="55">
      <t>セイネン</t>
    </rPh>
    <rPh sb="55" eb="57">
      <t>ガッピ</t>
    </rPh>
    <rPh sb="58" eb="60">
      <t>サカイメ</t>
    </rPh>
    <rPh sb="60" eb="61">
      <t>チョウ</t>
    </rPh>
    <rPh sb="71" eb="72">
      <t>ア</t>
    </rPh>
    <rPh sb="82" eb="83">
      <t>カエ</t>
    </rPh>
    <phoneticPr fontId="37"/>
  </si>
  <si>
    <t>生年月日が空白のなら0,生年月日が年齢の境目以下で合計所得950万円超・1000万円以下なら130,000、生年月日が境目超なら110,000、当てはまらないなら0で返す。</t>
    <rPh sb="0" eb="2">
      <t>セイネン</t>
    </rPh>
    <rPh sb="2" eb="4">
      <t>ガッピ</t>
    </rPh>
    <rPh sb="5" eb="7">
      <t>クウハク</t>
    </rPh>
    <rPh sb="12" eb="14">
      <t>セイネン</t>
    </rPh>
    <rPh sb="14" eb="16">
      <t>ガッピ</t>
    </rPh>
    <rPh sb="17" eb="19">
      <t>ネンレイ</t>
    </rPh>
    <rPh sb="20" eb="22">
      <t>サカイメ</t>
    </rPh>
    <rPh sb="22" eb="24">
      <t>イカ</t>
    </rPh>
    <rPh sb="25" eb="27">
      <t>ゴウケイ</t>
    </rPh>
    <rPh sb="27" eb="29">
      <t>ショトク</t>
    </rPh>
    <rPh sb="32" eb="34">
      <t>マンエン</t>
    </rPh>
    <rPh sb="34" eb="35">
      <t>チョウ</t>
    </rPh>
    <rPh sb="40" eb="42">
      <t>マンエン</t>
    </rPh>
    <rPh sb="42" eb="44">
      <t>イカ</t>
    </rPh>
    <rPh sb="54" eb="56">
      <t>セイネン</t>
    </rPh>
    <rPh sb="56" eb="58">
      <t>ガッピ</t>
    </rPh>
    <rPh sb="59" eb="61">
      <t>サカイメ</t>
    </rPh>
    <rPh sb="61" eb="62">
      <t>チョウ</t>
    </rPh>
    <rPh sb="72" eb="73">
      <t>ア</t>
    </rPh>
    <rPh sb="83" eb="84">
      <t>カエ</t>
    </rPh>
    <phoneticPr fontId="37"/>
  </si>
  <si>
    <t>配偶者控除</t>
    <rPh sb="0" eb="3">
      <t>ハイグウシャ</t>
    </rPh>
    <rPh sb="3" eb="5">
      <t>コウジョ</t>
    </rPh>
    <phoneticPr fontId="37"/>
  </si>
  <si>
    <t>合計所得金額ごとに計算した配偶者控除額から最高額で表示（式が長くなるので、所得金額ごとにセルを分けました）</t>
    <rPh sb="0" eb="2">
      <t>ゴウケイ</t>
    </rPh>
    <rPh sb="2" eb="4">
      <t>ショトク</t>
    </rPh>
    <rPh sb="4" eb="6">
      <t>キンガク</t>
    </rPh>
    <rPh sb="9" eb="11">
      <t>ケイサン</t>
    </rPh>
    <rPh sb="13" eb="16">
      <t>ハイグウシャ</t>
    </rPh>
    <rPh sb="16" eb="18">
      <t>コウジョ</t>
    </rPh>
    <rPh sb="18" eb="19">
      <t>ガク</t>
    </rPh>
    <rPh sb="21" eb="24">
      <t>サイコウガク</t>
    </rPh>
    <rPh sb="25" eb="27">
      <t>ヒョウジ</t>
    </rPh>
    <rPh sb="28" eb="29">
      <t>シキ</t>
    </rPh>
    <rPh sb="30" eb="31">
      <t>ナガ</t>
    </rPh>
    <rPh sb="37" eb="39">
      <t>ショトク</t>
    </rPh>
    <rPh sb="39" eb="41">
      <t>キンガク</t>
    </rPh>
    <rPh sb="47" eb="48">
      <t>ワ</t>
    </rPh>
    <phoneticPr fontId="37"/>
  </si>
  <si>
    <t>合計所得～900万円</t>
    <rPh sb="0" eb="2">
      <t>ゴウケイ</t>
    </rPh>
    <rPh sb="2" eb="4">
      <t>ショトク</t>
    </rPh>
    <rPh sb="8" eb="10">
      <t>マンエン</t>
    </rPh>
    <phoneticPr fontId="37"/>
  </si>
  <si>
    <t>合計所得900～950万円</t>
    <rPh sb="0" eb="2">
      <t>ゴウケイ</t>
    </rPh>
    <rPh sb="2" eb="4">
      <t>ショトク</t>
    </rPh>
    <rPh sb="11" eb="13">
      <t>マンエン</t>
    </rPh>
    <phoneticPr fontId="37"/>
  </si>
  <si>
    <t>合計所得950～万円</t>
    <rPh sb="0" eb="2">
      <t>ゴウケイ</t>
    </rPh>
    <rPh sb="2" eb="4">
      <t>ショトク</t>
    </rPh>
    <rPh sb="8" eb="10">
      <t>マンエン</t>
    </rPh>
    <phoneticPr fontId="37"/>
  </si>
  <si>
    <t>E133-141の和（いずれかに重複があれば1以上になる。）</t>
    <rPh sb="9" eb="10">
      <t>ワ</t>
    </rPh>
    <rPh sb="16" eb="18">
      <t>チョウフク</t>
    </rPh>
    <rPh sb="23" eb="25">
      <t>イジョウ</t>
    </rPh>
    <phoneticPr fontId="37"/>
  </si>
  <si>
    <t>生年月日注意喚起</t>
    <rPh sb="0" eb="2">
      <t>セイネン</t>
    </rPh>
    <rPh sb="2" eb="4">
      <t>ガッピ</t>
    </rPh>
    <rPh sb="4" eb="6">
      <t>チュウイ</t>
    </rPh>
    <rPh sb="6" eb="8">
      <t>カンキ</t>
    </rPh>
    <phoneticPr fontId="37"/>
  </si>
  <si>
    <t>生年月日</t>
    <rPh sb="0" eb="2">
      <t>セイネン</t>
    </rPh>
    <rPh sb="2" eb="4">
      <t>ガッピ</t>
    </rPh>
    <phoneticPr fontId="37"/>
  </si>
  <si>
    <t>個人番号</t>
    <rPh sb="0" eb="2">
      <t>コジン</t>
    </rPh>
    <rPh sb="2" eb="4">
      <t>バンゴウ</t>
    </rPh>
    <phoneticPr fontId="37"/>
  </si>
  <si>
    <t>重複したときの注意喚起</t>
    <rPh sb="0" eb="2">
      <t>チョウフク</t>
    </rPh>
    <rPh sb="7" eb="9">
      <t>チュウイ</t>
    </rPh>
    <rPh sb="9" eb="11">
      <t>カンキ</t>
    </rPh>
    <phoneticPr fontId="37"/>
  </si>
  <si>
    <t>入力不備時の注意喚起</t>
    <rPh sb="0" eb="2">
      <t>ニュウリョク</t>
    </rPh>
    <rPh sb="2" eb="4">
      <t>フビ</t>
    </rPh>
    <rPh sb="4" eb="5">
      <t>ジ</t>
    </rPh>
    <rPh sb="6" eb="8">
      <t>チュウイ</t>
    </rPh>
    <rPh sb="8" eb="10">
      <t>カンキ</t>
    </rPh>
    <phoneticPr fontId="37"/>
  </si>
  <si>
    <t>調整控除</t>
    <rPh sb="0" eb="2">
      <t>チョウセイ</t>
    </rPh>
    <rPh sb="2" eb="4">
      <t>コウジョ</t>
    </rPh>
    <phoneticPr fontId="37"/>
  </si>
  <si>
    <t>案内表示（給与収入850万円超のとき表示）</t>
    <rPh sb="0" eb="2">
      <t>アンナイ</t>
    </rPh>
    <rPh sb="2" eb="4">
      <t>ヒョウジ</t>
    </rPh>
    <rPh sb="5" eb="7">
      <t>キュウヨ</t>
    </rPh>
    <rPh sb="7" eb="9">
      <t>シュウニュウ</t>
    </rPh>
    <rPh sb="12" eb="14">
      <t>マンエン</t>
    </rPh>
    <rPh sb="14" eb="15">
      <t>チョウ</t>
    </rPh>
    <rPh sb="18" eb="20">
      <t>ヒョウジ</t>
    </rPh>
    <phoneticPr fontId="37"/>
  </si>
  <si>
    <t>住民税徴収方法の選択の重複</t>
    <rPh sb="0" eb="3">
      <t>ジュウミンゼイ</t>
    </rPh>
    <rPh sb="3" eb="5">
      <t>チョウシュウ</t>
    </rPh>
    <rPh sb="5" eb="7">
      <t>ホウホウ</t>
    </rPh>
    <rPh sb="8" eb="10">
      <t>センタク</t>
    </rPh>
    <rPh sb="11" eb="13">
      <t>チョウフク</t>
    </rPh>
    <phoneticPr fontId="37"/>
  </si>
  <si>
    <t>短期赤字の注意喚起</t>
    <rPh sb="0" eb="2">
      <t>タンキ</t>
    </rPh>
    <rPh sb="2" eb="4">
      <t>アカジ</t>
    </rPh>
    <rPh sb="5" eb="7">
      <t>チュウイ</t>
    </rPh>
    <rPh sb="7" eb="9">
      <t>カンキ</t>
    </rPh>
    <phoneticPr fontId="37"/>
  </si>
  <si>
    <t>長期赤字の注意喚起</t>
    <rPh sb="0" eb="2">
      <t>チョウキ</t>
    </rPh>
    <rPh sb="2" eb="4">
      <t>アカジ</t>
    </rPh>
    <rPh sb="5" eb="7">
      <t>チュウイ</t>
    </rPh>
    <rPh sb="7" eb="9">
      <t>カンキ</t>
    </rPh>
    <phoneticPr fontId="37"/>
  </si>
  <si>
    <t>個人番号重複注意喚起</t>
    <rPh sb="4" eb="6">
      <t>チョウフク</t>
    </rPh>
    <rPh sb="6" eb="8">
      <t>チュウイ</t>
    </rPh>
    <rPh sb="8" eb="10">
      <t>カンキ</t>
    </rPh>
    <phoneticPr fontId="37"/>
  </si>
  <si>
    <t>個人番号重複注意</t>
    <rPh sb="0" eb="2">
      <t>コジン</t>
    </rPh>
    <rPh sb="2" eb="4">
      <t>バンゴウ</t>
    </rPh>
    <rPh sb="4" eb="6">
      <t>チョウフク</t>
    </rPh>
    <rPh sb="6" eb="8">
      <t>チュウイ</t>
    </rPh>
    <phoneticPr fontId="37"/>
  </si>
  <si>
    <t>生年月日注意</t>
    <rPh sb="0" eb="2">
      <t>セイネン</t>
    </rPh>
    <rPh sb="2" eb="4">
      <t>ガッピ</t>
    </rPh>
    <rPh sb="4" eb="6">
      <t>チュウイ</t>
    </rPh>
    <phoneticPr fontId="37"/>
  </si>
  <si>
    <t>16歳未満扶養親族</t>
    <rPh sb="2" eb="5">
      <t>サイミマン</t>
    </rPh>
    <rPh sb="5" eb="7">
      <t>フヨウ</t>
    </rPh>
    <rPh sb="7" eb="9">
      <t>シンゾク</t>
    </rPh>
    <phoneticPr fontId="37"/>
  </si>
  <si>
    <t>手帳等の種類</t>
    <rPh sb="0" eb="2">
      <t>テチョウ</t>
    </rPh>
    <rPh sb="2" eb="3">
      <t>トウ</t>
    </rPh>
    <rPh sb="4" eb="6">
      <t>シュルイ</t>
    </rPh>
    <phoneticPr fontId="37"/>
  </si>
  <si>
    <t>控除区分</t>
    <rPh sb="0" eb="2">
      <t>コウジョ</t>
    </rPh>
    <rPh sb="2" eb="4">
      <t>クブン</t>
    </rPh>
    <phoneticPr fontId="37"/>
  </si>
  <si>
    <t>重複選択注意喚起</t>
    <rPh sb="0" eb="2">
      <t>チョウフク</t>
    </rPh>
    <rPh sb="2" eb="4">
      <t>センタク</t>
    </rPh>
    <rPh sb="4" eb="6">
      <t>チュウイ</t>
    </rPh>
    <rPh sb="6" eb="8">
      <t>カンキ</t>
    </rPh>
    <phoneticPr fontId="37"/>
  </si>
  <si>
    <t>重複利用</t>
    <rPh sb="0" eb="2">
      <t>チョウフク</t>
    </rPh>
    <rPh sb="2" eb="4">
      <t>リヨウ</t>
    </rPh>
    <phoneticPr fontId="37"/>
  </si>
  <si>
    <t>申告書</t>
    <rPh sb="0" eb="3">
      <t>シンコクショ</t>
    </rPh>
    <phoneticPr fontId="37"/>
  </si>
  <si>
    <t>見やすいように4桁ずつに表示</t>
    <rPh sb="0" eb="1">
      <t>ミ</t>
    </rPh>
    <rPh sb="8" eb="9">
      <t>ケタ</t>
    </rPh>
    <rPh sb="12" eb="14">
      <t>ヒョウジ</t>
    </rPh>
    <phoneticPr fontId="37"/>
  </si>
  <si>
    <t>生年月日　年</t>
    <rPh sb="0" eb="2">
      <t>セイネン</t>
    </rPh>
    <rPh sb="2" eb="4">
      <t>ガッピ</t>
    </rPh>
    <rPh sb="5" eb="6">
      <t>ネン</t>
    </rPh>
    <phoneticPr fontId="37"/>
  </si>
  <si>
    <t>社会保険料　源泉より</t>
    <rPh sb="0" eb="2">
      <t>シャカイ</t>
    </rPh>
    <rPh sb="2" eb="5">
      <t>ホケンリョウ</t>
    </rPh>
    <rPh sb="6" eb="8">
      <t>ゲンセン</t>
    </rPh>
    <phoneticPr fontId="37"/>
  </si>
  <si>
    <t>社会保険料3段目種類</t>
    <rPh sb="0" eb="2">
      <t>シャカイ</t>
    </rPh>
    <rPh sb="2" eb="5">
      <t>ホケンリョウ</t>
    </rPh>
    <rPh sb="6" eb="7">
      <t>ダン</t>
    </rPh>
    <rPh sb="7" eb="8">
      <t>メ</t>
    </rPh>
    <rPh sb="8" eb="10">
      <t>シュルイ</t>
    </rPh>
    <phoneticPr fontId="37"/>
  </si>
  <si>
    <t>社会保険料　2段目金額</t>
    <rPh sb="0" eb="2">
      <t>シャカイ</t>
    </rPh>
    <rPh sb="2" eb="5">
      <t>ホケンリョウ</t>
    </rPh>
    <rPh sb="7" eb="9">
      <t>ダンメ</t>
    </rPh>
    <rPh sb="9" eb="11">
      <t>キンガク</t>
    </rPh>
    <phoneticPr fontId="37"/>
  </si>
  <si>
    <t>寡婦事由 死別</t>
    <rPh sb="0" eb="2">
      <t>カフ</t>
    </rPh>
    <rPh sb="2" eb="4">
      <t>ジユウ</t>
    </rPh>
    <rPh sb="5" eb="7">
      <t>シベツ</t>
    </rPh>
    <phoneticPr fontId="37"/>
  </si>
  <si>
    <t>寡婦事由　離別</t>
    <rPh sb="0" eb="2">
      <t>カフ</t>
    </rPh>
    <rPh sb="2" eb="4">
      <t>ジユウ</t>
    </rPh>
    <rPh sb="5" eb="7">
      <t>リベツ</t>
    </rPh>
    <phoneticPr fontId="37"/>
  </si>
  <si>
    <t>寡婦事由　生死不明</t>
    <rPh sb="0" eb="2">
      <t>カフ</t>
    </rPh>
    <rPh sb="2" eb="4">
      <t>ジユウ</t>
    </rPh>
    <rPh sb="5" eb="7">
      <t>セイシ</t>
    </rPh>
    <rPh sb="7" eb="9">
      <t>フメイ</t>
    </rPh>
    <phoneticPr fontId="37"/>
  </si>
  <si>
    <t>寡婦事由　未帰還</t>
    <rPh sb="0" eb="2">
      <t>カフ</t>
    </rPh>
    <rPh sb="2" eb="4">
      <t>ジユウ</t>
    </rPh>
    <rPh sb="5" eb="8">
      <t>ミキカン</t>
    </rPh>
    <phoneticPr fontId="37"/>
  </si>
  <si>
    <t>配偶者控除　個人番号</t>
    <rPh sb="0" eb="3">
      <t>ハイグウシャ</t>
    </rPh>
    <rPh sb="3" eb="5">
      <t>コウジョ</t>
    </rPh>
    <rPh sb="6" eb="8">
      <t>コジン</t>
    </rPh>
    <rPh sb="8" eb="10">
      <t>バンゴウ</t>
    </rPh>
    <phoneticPr fontId="37"/>
  </si>
  <si>
    <t>配偶者控除　生年月日　年</t>
    <rPh sb="0" eb="3">
      <t>ハイグウシャ</t>
    </rPh>
    <rPh sb="3" eb="5">
      <t>コウジョ</t>
    </rPh>
    <rPh sb="6" eb="8">
      <t>セイネン</t>
    </rPh>
    <rPh sb="8" eb="10">
      <t>ガッピ</t>
    </rPh>
    <rPh sb="11" eb="12">
      <t>ネン</t>
    </rPh>
    <phoneticPr fontId="37"/>
  </si>
  <si>
    <t>扶養1　個人番号</t>
    <rPh sb="0" eb="2">
      <t>フヨウ</t>
    </rPh>
    <rPh sb="4" eb="6">
      <t>コジン</t>
    </rPh>
    <rPh sb="6" eb="8">
      <t>バンゴウ</t>
    </rPh>
    <phoneticPr fontId="37"/>
  </si>
  <si>
    <t>扶養1　生年月日　年</t>
    <rPh sb="0" eb="2">
      <t>フヨウ</t>
    </rPh>
    <rPh sb="4" eb="6">
      <t>セイネン</t>
    </rPh>
    <rPh sb="6" eb="8">
      <t>ガッピ</t>
    </rPh>
    <rPh sb="9" eb="10">
      <t>ネン</t>
    </rPh>
    <phoneticPr fontId="37"/>
  </si>
  <si>
    <t>扶養2　個人番号</t>
    <rPh sb="0" eb="2">
      <t>フヨウ</t>
    </rPh>
    <rPh sb="4" eb="6">
      <t>コジン</t>
    </rPh>
    <rPh sb="6" eb="8">
      <t>バンゴウ</t>
    </rPh>
    <phoneticPr fontId="37"/>
  </si>
  <si>
    <t>扶養2　生年月日　年</t>
    <rPh sb="0" eb="2">
      <t>フヨウ</t>
    </rPh>
    <rPh sb="4" eb="6">
      <t>セイネン</t>
    </rPh>
    <rPh sb="6" eb="8">
      <t>ガッピ</t>
    </rPh>
    <rPh sb="9" eb="10">
      <t>ネン</t>
    </rPh>
    <phoneticPr fontId="37"/>
  </si>
  <si>
    <t>扶養3　個人番号</t>
    <rPh sb="0" eb="2">
      <t>フヨウ</t>
    </rPh>
    <rPh sb="4" eb="6">
      <t>コジン</t>
    </rPh>
    <rPh sb="6" eb="8">
      <t>バンゴウ</t>
    </rPh>
    <phoneticPr fontId="37"/>
  </si>
  <si>
    <t>扶養3　生年月日　年</t>
    <rPh sb="0" eb="2">
      <t>フヨウ</t>
    </rPh>
    <rPh sb="4" eb="6">
      <t>セイネン</t>
    </rPh>
    <rPh sb="6" eb="8">
      <t>ガッピ</t>
    </rPh>
    <rPh sb="9" eb="10">
      <t>ネン</t>
    </rPh>
    <phoneticPr fontId="37"/>
  </si>
  <si>
    <t>扶養4　個人番号</t>
    <rPh sb="0" eb="2">
      <t>フヨウ</t>
    </rPh>
    <rPh sb="4" eb="6">
      <t>コジン</t>
    </rPh>
    <rPh sb="6" eb="8">
      <t>バンゴウ</t>
    </rPh>
    <phoneticPr fontId="37"/>
  </si>
  <si>
    <t>扶養4　生年月日　年</t>
    <rPh sb="0" eb="2">
      <t>フヨウ</t>
    </rPh>
    <rPh sb="4" eb="6">
      <t>セイネン</t>
    </rPh>
    <rPh sb="6" eb="8">
      <t>ガッピ</t>
    </rPh>
    <rPh sb="9" eb="10">
      <t>ネン</t>
    </rPh>
    <phoneticPr fontId="37"/>
  </si>
  <si>
    <t>16歳未満扶養1　個人番号</t>
    <rPh sb="2" eb="5">
      <t>サイミマン</t>
    </rPh>
    <rPh sb="5" eb="7">
      <t>フヨウ</t>
    </rPh>
    <rPh sb="9" eb="11">
      <t>コジン</t>
    </rPh>
    <rPh sb="11" eb="13">
      <t>バンゴウ</t>
    </rPh>
    <phoneticPr fontId="37"/>
  </si>
  <si>
    <t>16歳未満扶養1　生年月日　年</t>
    <rPh sb="2" eb="5">
      <t>サイミマン</t>
    </rPh>
    <rPh sb="5" eb="7">
      <t>フヨウ</t>
    </rPh>
    <rPh sb="9" eb="11">
      <t>セイネン</t>
    </rPh>
    <rPh sb="11" eb="13">
      <t>ガッピ</t>
    </rPh>
    <rPh sb="14" eb="15">
      <t>ネン</t>
    </rPh>
    <phoneticPr fontId="37"/>
  </si>
  <si>
    <t>16歳未満扶養2　個人番号</t>
    <rPh sb="2" eb="5">
      <t>サイミマン</t>
    </rPh>
    <rPh sb="5" eb="7">
      <t>フヨウ</t>
    </rPh>
    <rPh sb="9" eb="11">
      <t>コジン</t>
    </rPh>
    <rPh sb="11" eb="13">
      <t>バンゴウ</t>
    </rPh>
    <phoneticPr fontId="37"/>
  </si>
  <si>
    <t>16歳未満扶養2　生年月日　年</t>
    <rPh sb="2" eb="5">
      <t>サイミマン</t>
    </rPh>
    <rPh sb="5" eb="7">
      <t>フヨウ</t>
    </rPh>
    <rPh sb="9" eb="11">
      <t>セイネン</t>
    </rPh>
    <rPh sb="11" eb="13">
      <t>ガッピ</t>
    </rPh>
    <rPh sb="14" eb="15">
      <t>ネン</t>
    </rPh>
    <phoneticPr fontId="37"/>
  </si>
  <si>
    <t>16歳未満扶養3　個人番号</t>
    <rPh sb="2" eb="5">
      <t>サイミマン</t>
    </rPh>
    <rPh sb="5" eb="7">
      <t>フヨウ</t>
    </rPh>
    <rPh sb="9" eb="11">
      <t>コジン</t>
    </rPh>
    <rPh sb="11" eb="13">
      <t>バンゴウ</t>
    </rPh>
    <phoneticPr fontId="37"/>
  </si>
  <si>
    <t>16歳未満扶養3　生年月日　年</t>
    <rPh sb="2" eb="5">
      <t>サイミマン</t>
    </rPh>
    <rPh sb="5" eb="7">
      <t>フヨウ</t>
    </rPh>
    <rPh sb="9" eb="11">
      <t>セイネン</t>
    </rPh>
    <rPh sb="11" eb="13">
      <t>ガッピ</t>
    </rPh>
    <rPh sb="14" eb="15">
      <t>ネン</t>
    </rPh>
    <phoneticPr fontId="37"/>
  </si>
  <si>
    <t>配当所得</t>
    <rPh sb="0" eb="2">
      <t>ハイトウ</t>
    </rPh>
    <rPh sb="2" eb="4">
      <t>ショトク</t>
    </rPh>
    <phoneticPr fontId="37"/>
  </si>
  <si>
    <t>雑所得合計</t>
    <rPh sb="0" eb="3">
      <t>ザツショトク</t>
    </rPh>
    <rPh sb="3" eb="5">
      <t>ゴウケイ</t>
    </rPh>
    <phoneticPr fontId="37"/>
  </si>
  <si>
    <t>合計所得</t>
    <rPh sb="0" eb="2">
      <t>ゴウケイ</t>
    </rPh>
    <rPh sb="2" eb="4">
      <t>ショトク</t>
    </rPh>
    <phoneticPr fontId="37"/>
  </si>
  <si>
    <t>一般給与収入</t>
    <rPh sb="0" eb="2">
      <t>イッパン</t>
    </rPh>
    <rPh sb="2" eb="4">
      <t>キュウヨ</t>
    </rPh>
    <rPh sb="4" eb="6">
      <t>シュウニュウ</t>
    </rPh>
    <phoneticPr fontId="37"/>
  </si>
  <si>
    <t>配偶者控除</t>
    <rPh sb="0" eb="3">
      <t>ハイグウシャ</t>
    </rPh>
    <rPh sb="3" eb="5">
      <t>コウジョ</t>
    </rPh>
    <phoneticPr fontId="37"/>
  </si>
  <si>
    <t>配偶者特別控除</t>
    <rPh sb="0" eb="3">
      <t>ハイグウシャ</t>
    </rPh>
    <rPh sb="3" eb="5">
      <t>トクベツ</t>
    </rPh>
    <rPh sb="5" eb="7">
      <t>コウジョ</t>
    </rPh>
    <phoneticPr fontId="37"/>
  </si>
  <si>
    <t>扶養控除額合計</t>
    <rPh sb="0" eb="2">
      <t>フヨウ</t>
    </rPh>
    <rPh sb="2" eb="4">
      <t>コウジョ</t>
    </rPh>
    <rPh sb="4" eb="5">
      <t>ガク</t>
    </rPh>
    <rPh sb="5" eb="7">
      <t>ゴウケイ</t>
    </rPh>
    <phoneticPr fontId="37"/>
  </si>
  <si>
    <t>基礎控除</t>
    <rPh sb="0" eb="2">
      <t>キソ</t>
    </rPh>
    <rPh sb="2" eb="4">
      <t>コウジョ</t>
    </rPh>
    <phoneticPr fontId="37"/>
  </si>
  <si>
    <t>控除小計</t>
    <rPh sb="0" eb="2">
      <t>コウジョ</t>
    </rPh>
    <rPh sb="2" eb="4">
      <t>ショウケイ</t>
    </rPh>
    <phoneticPr fontId="37"/>
  </si>
  <si>
    <t>医療費控除</t>
    <rPh sb="0" eb="3">
      <t>イリョウヒ</t>
    </rPh>
    <rPh sb="3" eb="5">
      <t>コウジョ</t>
    </rPh>
    <phoneticPr fontId="37"/>
  </si>
  <si>
    <t>セルフメディケーション選択</t>
    <rPh sb="11" eb="13">
      <t>センタク</t>
    </rPh>
    <phoneticPr fontId="37"/>
  </si>
  <si>
    <t>控除合計</t>
    <rPh sb="0" eb="2">
      <t>コウジョ</t>
    </rPh>
    <rPh sb="2" eb="4">
      <t>ゴウケイ</t>
    </rPh>
    <phoneticPr fontId="37"/>
  </si>
  <si>
    <t>群馬県共同募金会、日本赤十字社群馬県支部分、
都道府県、市区町村分（特例控除対象以外）</t>
    <phoneticPr fontId="2" type="noConversion"/>
  </si>
  <si>
    <t>総合短期・長期　特別控除</t>
    <rPh sb="0" eb="2">
      <t>ソウゴウ</t>
    </rPh>
    <rPh sb="2" eb="4">
      <t>タンキ</t>
    </rPh>
    <rPh sb="5" eb="7">
      <t>チョウキ</t>
    </rPh>
    <rPh sb="8" eb="10">
      <t>トクベツ</t>
    </rPh>
    <rPh sb="10" eb="12">
      <t>コウジョ</t>
    </rPh>
    <phoneticPr fontId="37"/>
  </si>
  <si>
    <t>⑭小規模企業共済等掛金控除</t>
    <phoneticPr fontId="37"/>
  </si>
  <si>
    <t>⑰～⑲寡婦控除
ひとり親控除
勤労学生控除</t>
    <rPh sb="3" eb="5">
      <t>かふ</t>
    </rPh>
    <rPh sb="5" eb="7">
      <t>こうじょ</t>
    </rPh>
    <rPh sb="11" eb="12">
      <t>おや</t>
    </rPh>
    <rPh sb="12" eb="14">
      <t>こうじょ</t>
    </rPh>
    <rPh sb="15" eb="17">
      <t>きんろう</t>
    </rPh>
    <rPh sb="17" eb="19">
      <t>がくせい</t>
    </rPh>
    <rPh sb="19" eb="21">
      <t>こうじょ</t>
    </rPh>
    <phoneticPr fontId="2" type="noConversion"/>
  </si>
  <si>
    <t>⑳障害者
控　除</t>
    <phoneticPr fontId="37"/>
  </si>
  <si>
    <t>小規模企業共済等掛金控除</t>
    <phoneticPr fontId="37"/>
  </si>
  <si>
    <t>保険等補填額</t>
    <rPh sb="3" eb="5">
      <t>ホテン</t>
    </rPh>
    <phoneticPr fontId="37"/>
  </si>
  <si>
    <t>医療費補填額</t>
    <rPh sb="0" eb="3">
      <t>イリョウヒ</t>
    </rPh>
    <rPh sb="3" eb="5">
      <t>ホテン</t>
    </rPh>
    <rPh sb="5" eb="6">
      <t>ガク</t>
    </rPh>
    <phoneticPr fontId="37"/>
  </si>
  <si>
    <t>㉑～㉒配偶者控除・配偶者特別控除・同一生計配偶者</t>
    <phoneticPr fontId="37"/>
  </si>
  <si>
    <t>㉓
扶
養
控
除</t>
    <phoneticPr fontId="2" type="noConversion"/>
  </si>
  <si>
    <t>⑰</t>
    <phoneticPr fontId="37"/>
  </si>
  <si>
    <t>⑱</t>
    <phoneticPr fontId="37"/>
  </si>
  <si>
    <t>⑲</t>
    <phoneticPr fontId="37"/>
  </si>
  <si>
    <t>㉖
雑損控除</t>
    <phoneticPr fontId="37"/>
  </si>
  <si>
    <t>㉗医療費控除</t>
    <phoneticPr fontId="37"/>
  </si>
  <si>
    <t>地方税法附則第4条の4の規定の適用を選択する場合には、
「医療費控除」欄の「区分」に「1」と記入してください。</t>
    <phoneticPr fontId="37"/>
  </si>
  <si>
    <t>県のみ条例指定</t>
    <rPh sb="3" eb="5">
      <t>ジョウレイ</t>
    </rPh>
    <rPh sb="5" eb="7">
      <t>シテイ</t>
    </rPh>
    <phoneticPr fontId="37"/>
  </si>
  <si>
    <t>市のみ条例指定</t>
    <rPh sb="3" eb="5">
      <t>ジョウレイ</t>
    </rPh>
    <rPh sb="5" eb="7">
      <t>シテイ</t>
    </rPh>
    <phoneticPr fontId="37"/>
  </si>
  <si>
    <t>県・市ともに条例指定</t>
    <rPh sb="6" eb="8">
      <t>ジョウレイ</t>
    </rPh>
    <rPh sb="8" eb="10">
      <t>シテイ</t>
    </rPh>
    <phoneticPr fontId="37"/>
  </si>
  <si>
    <t>勤務先名</t>
    <rPh sb="3" eb="4">
      <t>メイ</t>
    </rPh>
    <phoneticPr fontId="37"/>
  </si>
  <si>
    <t>勤務先電話番号</t>
    <rPh sb="0" eb="3">
      <t>キンムサキ</t>
    </rPh>
    <phoneticPr fontId="37"/>
  </si>
  <si>
    <t>資産の種類</t>
    <phoneticPr fontId="37"/>
  </si>
  <si>
    <t>種類</t>
    <rPh sb="0" eb="2">
      <t>シュルイ</t>
    </rPh>
    <phoneticPr fontId="37"/>
  </si>
  <si>
    <t>（３）</t>
    <phoneticPr fontId="37"/>
  </si>
  <si>
    <t>寡婦ひとり親控除</t>
    <rPh sb="5" eb="6">
      <t>おや</t>
    </rPh>
    <phoneticPr fontId="2" type="noConversion"/>
  </si>
  <si>
    <t>⑬社会保険料控除</t>
    <phoneticPr fontId="2" type="noConversion"/>
  </si>
  <si>
    <t>⑮生命保険料控除</t>
    <phoneticPr fontId="37"/>
  </si>
  <si>
    <t>⑯地震保険料控除</t>
    <phoneticPr fontId="37"/>
  </si>
  <si>
    <t>3．</t>
    <phoneticPr fontId="37"/>
  </si>
  <si>
    <t>5．</t>
    <phoneticPr fontId="37"/>
  </si>
  <si>
    <t>6．</t>
    <phoneticPr fontId="37"/>
  </si>
  <si>
    <r>
      <t>本人、配偶者、扶養親族の個人番号が重複したら、申告書の欄外に重複しているので確認してくださいの表示</t>
    </r>
    <r>
      <rPr>
        <b/>
        <sz val="10"/>
        <color rgb="FFFF0000"/>
        <rFont val="Meiryo UI"/>
        <family val="3"/>
        <charset val="128"/>
      </rPr>
      <t>（個人番号を入力させないことにしたので使っていません）</t>
    </r>
    <rPh sb="0" eb="2">
      <t>ホンニン</t>
    </rPh>
    <rPh sb="3" eb="6">
      <t>ハイグウシャ</t>
    </rPh>
    <rPh sb="7" eb="9">
      <t>フヨウ</t>
    </rPh>
    <rPh sb="9" eb="11">
      <t>シンゾク</t>
    </rPh>
    <rPh sb="12" eb="14">
      <t>コジン</t>
    </rPh>
    <rPh sb="14" eb="16">
      <t>バンゴウ</t>
    </rPh>
    <rPh sb="17" eb="19">
      <t>チョウフク</t>
    </rPh>
    <rPh sb="23" eb="26">
      <t>シンコクショ</t>
    </rPh>
    <rPh sb="27" eb="29">
      <t>ランガイ</t>
    </rPh>
    <rPh sb="30" eb="32">
      <t>チョウフク</t>
    </rPh>
    <rPh sb="38" eb="40">
      <t>カクニン</t>
    </rPh>
    <rPh sb="47" eb="49">
      <t>ヒョウジ</t>
    </rPh>
    <rPh sb="50" eb="52">
      <t>コジン</t>
    </rPh>
    <rPh sb="52" eb="54">
      <t>バンゴウ</t>
    </rPh>
    <rPh sb="55" eb="57">
      <t>ニュウリョク</t>
    </rPh>
    <rPh sb="68" eb="69">
      <t>ツカ</t>
    </rPh>
    <phoneticPr fontId="37"/>
  </si>
  <si>
    <t>（個人番号の入力を辞めたので使用していません）</t>
    <rPh sb="1" eb="3">
      <t>コジン</t>
    </rPh>
    <rPh sb="3" eb="5">
      <t>バンゴウ</t>
    </rPh>
    <rPh sb="6" eb="8">
      <t>ニュウリョク</t>
    </rPh>
    <rPh sb="9" eb="10">
      <t>ヤ</t>
    </rPh>
    <rPh sb="14" eb="16">
      <t>シヨウ</t>
    </rPh>
    <phoneticPr fontId="37"/>
  </si>
  <si>
    <t>（使用していません）</t>
    <rPh sb="1" eb="3">
      <t>シヨウ</t>
    </rPh>
    <phoneticPr fontId="37"/>
  </si>
  <si>
    <r>
      <t>個人番号</t>
    </r>
    <r>
      <rPr>
        <b/>
        <sz val="10"/>
        <color rgb="FFFF0000"/>
        <rFont val="Meiryo UI"/>
        <family val="3"/>
        <charset val="128"/>
      </rPr>
      <t>（使用していません）</t>
    </r>
    <rPh sb="0" eb="2">
      <t>コジン</t>
    </rPh>
    <rPh sb="2" eb="4">
      <t>バンゴウ</t>
    </rPh>
    <rPh sb="5" eb="7">
      <t>シヨウ</t>
    </rPh>
    <phoneticPr fontId="37"/>
  </si>
  <si>
    <t>同居または別居</t>
    <phoneticPr fontId="37"/>
  </si>
  <si>
    <t>↑C16+D16+E16</t>
    <phoneticPr fontId="37"/>
  </si>
  <si>
    <t>↑C19-D19</t>
    <phoneticPr fontId="37"/>
  </si>
  <si>
    <t>↑給与・年金のD30</t>
    <phoneticPr fontId="37"/>
  </si>
  <si>
    <t>↑「C34と500,000のいずれか小さい方」と0のいずれか大きい方を表示する。</t>
    <rPh sb="18" eb="19">
      <t>チイ</t>
    </rPh>
    <rPh sb="21" eb="22">
      <t>ホウ</t>
    </rPh>
    <rPh sb="30" eb="31">
      <t>オオ</t>
    </rPh>
    <rPh sb="33" eb="34">
      <t>ホウ</t>
    </rPh>
    <rPh sb="35" eb="37">
      <t>ヒョウジ</t>
    </rPh>
    <phoneticPr fontId="37"/>
  </si>
  <si>
    <t>↑C34-D34</t>
    <phoneticPr fontId="37"/>
  </si>
  <si>
    <t>↑「C37と（500,000からＤ34を引いた金額）のいずれか小さい方」と0のいずれか大きい方を表示する。</t>
    <rPh sb="20" eb="21">
      <t>ヒ</t>
    </rPh>
    <rPh sb="23" eb="25">
      <t>キンガク</t>
    </rPh>
    <rPh sb="31" eb="32">
      <t>チイ</t>
    </rPh>
    <rPh sb="34" eb="35">
      <t>ホウ</t>
    </rPh>
    <rPh sb="43" eb="44">
      <t>オオ</t>
    </rPh>
    <rPh sb="46" eb="47">
      <t>ホウ</t>
    </rPh>
    <rPh sb="48" eb="50">
      <t>ヒョウジ</t>
    </rPh>
    <phoneticPr fontId="37"/>
  </si>
  <si>
    <t>↑C37-D37</t>
    <phoneticPr fontId="37"/>
  </si>
  <si>
    <t>↑「C40と500,000のいずれか小さい方」と0のいずれか大きい方を表示する。</t>
    <rPh sb="18" eb="19">
      <t>チイ</t>
    </rPh>
    <rPh sb="21" eb="22">
      <t>ホウ</t>
    </rPh>
    <rPh sb="30" eb="31">
      <t>オオ</t>
    </rPh>
    <rPh sb="33" eb="34">
      <t>ホウ</t>
    </rPh>
    <rPh sb="35" eb="37">
      <t>ヒョウジ</t>
    </rPh>
    <phoneticPr fontId="37"/>
  </si>
  <si>
    <t>↑C40-D40</t>
    <phoneticPr fontId="37"/>
  </si>
  <si>
    <t>↑C59-F59を参照して生年月日を年月日の順で表示</t>
    <rPh sb="9" eb="11">
      <t>サンショウ</t>
    </rPh>
    <rPh sb="13" eb="15">
      <t>セイネン</t>
    </rPh>
    <rPh sb="15" eb="17">
      <t>ガッピ</t>
    </rPh>
    <rPh sb="18" eb="21">
      <t>ネンガッピ</t>
    </rPh>
    <rPh sb="22" eb="23">
      <t>ジュン</t>
    </rPh>
    <rPh sb="24" eb="26">
      <t>ヒョウジ</t>
    </rPh>
    <phoneticPr fontId="37"/>
  </si>
  <si>
    <t>J59が480,000以下ならN59を返し、当てはまらないなら0を返す。</t>
    <rPh sb="11" eb="13">
      <t>イカ</t>
    </rPh>
    <rPh sb="19" eb="20">
      <t>カエ</t>
    </rPh>
    <rPh sb="22" eb="23">
      <t>ア</t>
    </rPh>
    <rPh sb="33" eb="34">
      <t>カエ</t>
    </rPh>
    <phoneticPr fontId="37"/>
  </si>
  <si>
    <t xml:space="preserve">E67:L67の和
</t>
    <rPh sb="8" eb="9">
      <t>ワ</t>
    </rPh>
    <phoneticPr fontId="37"/>
  </si>
  <si>
    <t xml:space="preserve">E68:L68の和
</t>
    <phoneticPr fontId="37"/>
  </si>
  <si>
    <t>E69:L69の和</t>
    <phoneticPr fontId="37"/>
  </si>
  <si>
    <t>↑D77-G77を参照して生年月日を年月日の順で表示</t>
    <rPh sb="9" eb="11">
      <t>サンショウ</t>
    </rPh>
    <rPh sb="13" eb="15">
      <t>セイネン</t>
    </rPh>
    <rPh sb="15" eb="17">
      <t>ガッピ</t>
    </rPh>
    <rPh sb="18" eb="21">
      <t>ネンガッピ</t>
    </rPh>
    <rPh sb="22" eb="23">
      <t>ジュン</t>
    </rPh>
    <rPh sb="24" eb="26">
      <t>ヒョウジ</t>
    </rPh>
    <phoneticPr fontId="37"/>
  </si>
  <si>
    <t>それぞれDATEVLUEでH77-80を処理し、yyyymmddの表示とした後に、VALUEで数字に変換する。この処理ができなくてエラーになった人を空白で返す。</t>
    <rPh sb="20" eb="22">
      <t>ショリ</t>
    </rPh>
    <rPh sb="33" eb="35">
      <t>ヒョウジ</t>
    </rPh>
    <rPh sb="38" eb="39">
      <t>アト</t>
    </rPh>
    <rPh sb="47" eb="49">
      <t>スウジ</t>
    </rPh>
    <rPh sb="50" eb="52">
      <t>ヘンカン</t>
    </rPh>
    <rPh sb="57" eb="59">
      <t>ショリ</t>
    </rPh>
    <rPh sb="72" eb="73">
      <t>ヒト</t>
    </rPh>
    <rPh sb="74" eb="76">
      <t>クウハク</t>
    </rPh>
    <rPh sb="77" eb="78">
      <t>カエ</t>
    </rPh>
    <phoneticPr fontId="37"/>
  </si>
  <si>
    <t>D95-101で別居の数をカウント</t>
    <rPh sb="8" eb="10">
      <t>ベッキョ</t>
    </rPh>
    <rPh sb="11" eb="12">
      <t>カズ</t>
    </rPh>
    <phoneticPr fontId="37"/>
  </si>
  <si>
    <t>vlookupで別居を選択した人を表示</t>
    <rPh sb="8" eb="10">
      <t>ベッキョ</t>
    </rPh>
    <rPh sb="11" eb="13">
      <t>センタク</t>
    </rPh>
    <rPh sb="15" eb="16">
      <t>ヒト</t>
    </rPh>
    <rPh sb="17" eb="19">
      <t>ヒョウジ</t>
    </rPh>
    <phoneticPr fontId="37"/>
  </si>
  <si>
    <r>
      <t>個人番号</t>
    </r>
    <r>
      <rPr>
        <b/>
        <sz val="10"/>
        <color rgb="FFFF0000"/>
        <rFont val="Meiryo UI"/>
        <family val="3"/>
        <charset val="128"/>
      </rPr>
      <t>(使用していません)</t>
    </r>
    <rPh sb="0" eb="2">
      <t>コジン</t>
    </rPh>
    <rPh sb="2" eb="4">
      <t>バンゴウ</t>
    </rPh>
    <rPh sb="5" eb="7">
      <t>シヨウ</t>
    </rPh>
    <phoneticPr fontId="37"/>
  </si>
  <si>
    <t>このシートを印刷して提出しても市民税・県民税の申告として扱えません。市民税・県民税申告書を印刷して提出してください。</t>
    <rPh sb="6" eb="8">
      <t>インサツ</t>
    </rPh>
    <rPh sb="10" eb="12">
      <t>テイシュツ</t>
    </rPh>
    <rPh sb="15" eb="18">
      <t>シミンゼイ</t>
    </rPh>
    <rPh sb="19" eb="22">
      <t>ケンミンゼイ</t>
    </rPh>
    <rPh sb="23" eb="25">
      <t>シンコク</t>
    </rPh>
    <rPh sb="28" eb="29">
      <t>アツカ</t>
    </rPh>
    <rPh sb="34" eb="37">
      <t>シミンゼイ</t>
    </rPh>
    <rPh sb="38" eb="41">
      <t>ケンミンゼイ</t>
    </rPh>
    <rPh sb="41" eb="44">
      <t>シンコクショ</t>
    </rPh>
    <rPh sb="45" eb="47">
      <t>インサツ</t>
    </rPh>
    <rPh sb="49" eb="51">
      <t>テイシュツ</t>
    </rPh>
    <phoneticPr fontId="37"/>
  </si>
  <si>
    <t>この市民税・県民税申告書を印刷して提出してください。添付資料の台紙を含めて3ページ（裏表可）になるように印刷してください。</t>
    <rPh sb="2" eb="5">
      <t>シミンゼイ</t>
    </rPh>
    <rPh sb="6" eb="9">
      <t>ケンミンゼイ</t>
    </rPh>
    <rPh sb="9" eb="12">
      <t>シンコクショ</t>
    </rPh>
    <rPh sb="13" eb="15">
      <t>インサツ</t>
    </rPh>
    <rPh sb="17" eb="19">
      <t>テイシュツ</t>
    </rPh>
    <rPh sb="26" eb="28">
      <t>テンプ</t>
    </rPh>
    <rPh sb="28" eb="30">
      <t>シリョウ</t>
    </rPh>
    <rPh sb="31" eb="33">
      <t>ダイシ</t>
    </rPh>
    <rPh sb="34" eb="35">
      <t>フク</t>
    </rPh>
    <rPh sb="42" eb="44">
      <t>ウラオモテ</t>
    </rPh>
    <rPh sb="44" eb="45">
      <t>カ</t>
    </rPh>
    <rPh sb="52" eb="54">
      <t>インサツ</t>
    </rPh>
    <phoneticPr fontId="37"/>
  </si>
  <si>
    <t>入力できない箇所等について記載が必要な場合、印刷後に追記・修正してください。</t>
    <rPh sb="0" eb="2">
      <t>ニュウリョク</t>
    </rPh>
    <rPh sb="6" eb="8">
      <t>カショ</t>
    </rPh>
    <rPh sb="8" eb="9">
      <t>トウ</t>
    </rPh>
    <rPh sb="13" eb="15">
      <t>キサイ</t>
    </rPh>
    <rPh sb="16" eb="18">
      <t>ヒツヨウ</t>
    </rPh>
    <rPh sb="19" eb="21">
      <t>バアイ</t>
    </rPh>
    <rPh sb="22" eb="24">
      <t>インサツ</t>
    </rPh>
    <rPh sb="24" eb="25">
      <t>ゴ</t>
    </rPh>
    <rPh sb="26" eb="28">
      <t>ツイキ</t>
    </rPh>
    <rPh sb="29" eb="31">
      <t>シュウセイ</t>
    </rPh>
    <phoneticPr fontId="37"/>
  </si>
  <si>
    <t>←</t>
    <phoneticPr fontId="37"/>
  </si>
  <si>
    <t>※障害者控除の対象が3人以上いる場合は、印刷後に欄外に追記してください。追記された内容に基づいて市で控除額を修正します。</t>
    <rPh sb="1" eb="4">
      <t>ショウガイシャ</t>
    </rPh>
    <rPh sb="4" eb="6">
      <t>コウジョ</t>
    </rPh>
    <rPh sb="7" eb="9">
      <t>タイショウ</t>
    </rPh>
    <rPh sb="11" eb="12">
      <t>ニン</t>
    </rPh>
    <rPh sb="12" eb="14">
      <t>イジョウ</t>
    </rPh>
    <rPh sb="16" eb="18">
      <t>バアイ</t>
    </rPh>
    <rPh sb="20" eb="22">
      <t>インサツ</t>
    </rPh>
    <rPh sb="22" eb="23">
      <t>ゴ</t>
    </rPh>
    <rPh sb="24" eb="26">
      <t>ランガイ</t>
    </rPh>
    <rPh sb="27" eb="29">
      <t>ツイキ</t>
    </rPh>
    <phoneticPr fontId="37"/>
  </si>
  <si>
    <r>
      <rPr>
        <b/>
        <sz val="12"/>
        <rFont val="Meiryo UI"/>
        <family val="3"/>
        <charset val="128"/>
      </rPr>
      <t>ひとり親に該当しない女性で</t>
    </r>
    <r>
      <rPr>
        <sz val="12"/>
        <rFont val="Meiryo UI"/>
        <family val="3"/>
        <charset val="128"/>
      </rPr>
      <t>、本人の合計所得金額が500万円以下であり、本人と事実上婚姻関係と同様の事情にあると認められる次の（ア）（イ）に掲げる者がいない場合に、下記（１）から（３）までのいずれかに該当がある人。</t>
    </r>
    <rPh sb="10" eb="12">
      <t>ジョセイ</t>
    </rPh>
    <phoneticPr fontId="37"/>
  </si>
  <si>
    <t>勤労学生とは・・・</t>
    <phoneticPr fontId="37"/>
  </si>
  <si>
    <t>大学や高校などの学生や生徒で、前年中の合計所得金額が75万円以下、かつ自己の勤労によらない所得が10万円以下の人</t>
    <phoneticPr fontId="37"/>
  </si>
  <si>
    <t>寄附金控除について寄附金額を入力してください。市条例・県条例はそれぞれホームページで確認できます。共同募金会、日本赤十字社等に災害義援金等として寄附した場合で、特例控除対象になる場合は、特例控除対象（ふるさと納税）欄に記載してください。</t>
    <rPh sb="0" eb="3">
      <t>キフキン</t>
    </rPh>
    <rPh sb="3" eb="5">
      <t>コウジョ</t>
    </rPh>
    <rPh sb="9" eb="12">
      <t>キフキン</t>
    </rPh>
    <rPh sb="12" eb="13">
      <t>ガク</t>
    </rPh>
    <rPh sb="14" eb="16">
      <t>ニュウリョク</t>
    </rPh>
    <rPh sb="23" eb="24">
      <t>シ</t>
    </rPh>
    <rPh sb="24" eb="26">
      <t>ジョウレイ</t>
    </rPh>
    <rPh sb="27" eb="28">
      <t>ケン</t>
    </rPh>
    <rPh sb="28" eb="30">
      <t>ジョウレイ</t>
    </rPh>
    <rPh sb="42" eb="44">
      <t>カクニン</t>
    </rPh>
    <rPh sb="49" eb="51">
      <t>キョウドウ</t>
    </rPh>
    <rPh sb="51" eb="54">
      <t>ボキンカイ</t>
    </rPh>
    <rPh sb="55" eb="57">
      <t>ニホン</t>
    </rPh>
    <rPh sb="57" eb="60">
      <t>セキジュウジ</t>
    </rPh>
    <rPh sb="60" eb="61">
      <t>シャ</t>
    </rPh>
    <rPh sb="61" eb="62">
      <t>トウ</t>
    </rPh>
    <rPh sb="63" eb="65">
      <t>サイガイ</t>
    </rPh>
    <rPh sb="65" eb="68">
      <t>ギエンキン</t>
    </rPh>
    <rPh sb="68" eb="69">
      <t>トウ</t>
    </rPh>
    <rPh sb="72" eb="74">
      <t>キフ</t>
    </rPh>
    <rPh sb="76" eb="78">
      <t>バアイ</t>
    </rPh>
    <rPh sb="80" eb="82">
      <t>トクレイ</t>
    </rPh>
    <rPh sb="82" eb="84">
      <t>コウジョ</t>
    </rPh>
    <rPh sb="84" eb="86">
      <t>タイショウ</t>
    </rPh>
    <rPh sb="89" eb="91">
      <t>バアイ</t>
    </rPh>
    <rPh sb="93" eb="95">
      <t>トクレイ</t>
    </rPh>
    <rPh sb="95" eb="97">
      <t>コウジョ</t>
    </rPh>
    <rPh sb="97" eb="99">
      <t>タイショウ</t>
    </rPh>
    <rPh sb="104" eb="106">
      <t>ノウゼイ</t>
    </rPh>
    <rPh sb="107" eb="108">
      <t>ラン</t>
    </rPh>
    <rPh sb="109" eb="111">
      <t>キサイ</t>
    </rPh>
    <phoneticPr fontId="37"/>
  </si>
  <si>
    <t>D27-29</t>
    <phoneticPr fontId="37"/>
  </si>
  <si>
    <t>G27</t>
    <phoneticPr fontId="37"/>
  </si>
  <si>
    <t>住所</t>
    <rPh sb="0" eb="2">
      <t>ジュウショ</t>
    </rPh>
    <phoneticPr fontId="37"/>
  </si>
  <si>
    <t>基本的に生年月日を正しく入力することで控除額が計算されます。生年月日が入力されないと氏名を記載しても控除は反映されません。配偶者・扶養親族（16歳以上のみ）のカナ氏名・氏名のいずれかに何かしらの文字が入っていて、生年月日が正しく入力されていないときに注意が表示されるようにしています。「生年月日を入力してください。控除額が正しく計算できません。」</t>
    <rPh sb="0" eb="3">
      <t>キホンテキ</t>
    </rPh>
    <rPh sb="4" eb="6">
      <t>セイネン</t>
    </rPh>
    <rPh sb="6" eb="8">
      <t>ガッピ</t>
    </rPh>
    <rPh sb="9" eb="10">
      <t>タダ</t>
    </rPh>
    <rPh sb="12" eb="14">
      <t>ニュウリョク</t>
    </rPh>
    <rPh sb="19" eb="21">
      <t>コウジョ</t>
    </rPh>
    <rPh sb="21" eb="22">
      <t>ガク</t>
    </rPh>
    <rPh sb="23" eb="25">
      <t>ケイサン</t>
    </rPh>
    <rPh sb="30" eb="32">
      <t>セイネン</t>
    </rPh>
    <rPh sb="32" eb="34">
      <t>ガッピ</t>
    </rPh>
    <rPh sb="35" eb="37">
      <t>ニュウリョク</t>
    </rPh>
    <rPh sb="42" eb="44">
      <t>シメイ</t>
    </rPh>
    <rPh sb="45" eb="47">
      <t>キサイ</t>
    </rPh>
    <rPh sb="50" eb="52">
      <t>コウジョ</t>
    </rPh>
    <rPh sb="53" eb="55">
      <t>ハンエイ</t>
    </rPh>
    <phoneticPr fontId="37"/>
  </si>
  <si>
    <t>D-G8</t>
    <phoneticPr fontId="37"/>
  </si>
  <si>
    <t>Ｃ9</t>
    <phoneticPr fontId="37"/>
  </si>
  <si>
    <t>H8</t>
    <phoneticPr fontId="37"/>
  </si>
  <si>
    <t>D14,18,22,26</t>
    <phoneticPr fontId="37"/>
  </si>
  <si>
    <t>I17,21,25,29</t>
    <phoneticPr fontId="37"/>
  </si>
  <si>
    <t>I-L36,I-L40,I-L44</t>
    <phoneticPr fontId="37"/>
  </si>
  <si>
    <t>I38,42,46</t>
    <phoneticPr fontId="37"/>
  </si>
  <si>
    <t>同居・別居</t>
    <rPh sb="0" eb="2">
      <t>ドウキョ</t>
    </rPh>
    <rPh sb="3" eb="5">
      <t>ベッキョ</t>
    </rPh>
    <phoneticPr fontId="37"/>
  </si>
  <si>
    <t>選択リストのみ、それ以外は拒絶（この選択から控除額算出）</t>
    <rPh sb="18" eb="20">
      <t>センタク</t>
    </rPh>
    <rPh sb="22" eb="24">
      <t>コウジョ</t>
    </rPh>
    <rPh sb="24" eb="25">
      <t>ガク</t>
    </rPh>
    <rPh sb="25" eb="27">
      <t>サンシュツ</t>
    </rPh>
    <phoneticPr fontId="37"/>
  </si>
  <si>
    <t>E30</t>
    <phoneticPr fontId="37"/>
  </si>
  <si>
    <t>C13</t>
    <phoneticPr fontId="37"/>
  </si>
  <si>
    <t>H19-20,N19-21</t>
    <phoneticPr fontId="37"/>
  </si>
  <si>
    <t>特になし、生年月日の選択してくださいは空白で処理。</t>
    <rPh sb="0" eb="1">
      <t>トク</t>
    </rPh>
    <rPh sb="5" eb="7">
      <t>セイネン</t>
    </rPh>
    <rPh sb="7" eb="9">
      <t>ガッピ</t>
    </rPh>
    <rPh sb="10" eb="12">
      <t>センタク</t>
    </rPh>
    <rPh sb="19" eb="21">
      <t>クウハク</t>
    </rPh>
    <rPh sb="22" eb="24">
      <t>ショリ</t>
    </rPh>
    <phoneticPr fontId="37"/>
  </si>
  <si>
    <t>特になし、生年月日の選択してくださいは空白で処理。</t>
    <rPh sb="0" eb="1">
      <t>トク</t>
    </rPh>
    <phoneticPr fontId="37"/>
  </si>
  <si>
    <t>収入の省略によって所得も省略</t>
    <rPh sb="0" eb="2">
      <t>シュウニュウ</t>
    </rPh>
    <rPh sb="3" eb="5">
      <t>ショウリャク</t>
    </rPh>
    <rPh sb="9" eb="11">
      <t>ショトク</t>
    </rPh>
    <rPh sb="12" eb="14">
      <t>ショウリャク</t>
    </rPh>
    <phoneticPr fontId="37"/>
  </si>
  <si>
    <t>所得金額調整控除を選択して、給与収入850万円超で、特別障害者控除を選択しているときに特別障害者控除の一番上の人を引っ張ってきています。障害者控除をとっていない場合は何も入力されません。扶養控除と障害者控除で全く同一で氏名を入力してもらえれば、該当の人の情報を引っ張ってこられそうですが、違った場合にうまく引っ張ってこられないと思ったため、続柄・生年月日・同居/別居は「扶養控除参照」で逃げてます。</t>
    <rPh sb="0" eb="2">
      <t>ショトク</t>
    </rPh>
    <rPh sb="2" eb="4">
      <t>キンガク</t>
    </rPh>
    <rPh sb="4" eb="6">
      <t>チョウセイ</t>
    </rPh>
    <rPh sb="6" eb="8">
      <t>コウジョ</t>
    </rPh>
    <rPh sb="9" eb="11">
      <t>センタク</t>
    </rPh>
    <rPh sb="14" eb="16">
      <t>キュウヨ</t>
    </rPh>
    <rPh sb="16" eb="18">
      <t>シュウニュウ</t>
    </rPh>
    <rPh sb="21" eb="23">
      <t>マンエン</t>
    </rPh>
    <rPh sb="23" eb="24">
      <t>チョウ</t>
    </rPh>
    <rPh sb="26" eb="28">
      <t>トクベツ</t>
    </rPh>
    <rPh sb="28" eb="31">
      <t>ショウガイシャ</t>
    </rPh>
    <rPh sb="31" eb="33">
      <t>コウジョ</t>
    </rPh>
    <rPh sb="34" eb="36">
      <t>センタク</t>
    </rPh>
    <rPh sb="43" eb="45">
      <t>トクベツ</t>
    </rPh>
    <rPh sb="45" eb="48">
      <t>ショウガイシャ</t>
    </rPh>
    <rPh sb="48" eb="50">
      <t>コウジョ</t>
    </rPh>
    <rPh sb="51" eb="53">
      <t>イチバン</t>
    </rPh>
    <rPh sb="53" eb="54">
      <t>ウエ</t>
    </rPh>
    <rPh sb="55" eb="56">
      <t>ヒト</t>
    </rPh>
    <rPh sb="57" eb="58">
      <t>ヒ</t>
    </rPh>
    <rPh sb="59" eb="60">
      <t>パ</t>
    </rPh>
    <rPh sb="68" eb="71">
      <t>ショウガイシャ</t>
    </rPh>
    <rPh sb="71" eb="73">
      <t>コウジョ</t>
    </rPh>
    <rPh sb="80" eb="82">
      <t>バアイ</t>
    </rPh>
    <rPh sb="83" eb="84">
      <t>ナニ</t>
    </rPh>
    <rPh sb="85" eb="87">
      <t>ニュウリョク</t>
    </rPh>
    <rPh sb="93" eb="95">
      <t>フヨウ</t>
    </rPh>
    <rPh sb="95" eb="97">
      <t>コウジョ</t>
    </rPh>
    <rPh sb="98" eb="101">
      <t>ショウガイシャ</t>
    </rPh>
    <rPh sb="101" eb="103">
      <t>コウジョ</t>
    </rPh>
    <rPh sb="104" eb="105">
      <t>マッタ</t>
    </rPh>
    <rPh sb="106" eb="108">
      <t>ドウイツ</t>
    </rPh>
    <rPh sb="109" eb="111">
      <t>シメイ</t>
    </rPh>
    <rPh sb="112" eb="114">
      <t>ニュウリョク</t>
    </rPh>
    <rPh sb="122" eb="124">
      <t>ガイトウ</t>
    </rPh>
    <rPh sb="125" eb="126">
      <t>ヒト</t>
    </rPh>
    <rPh sb="127" eb="129">
      <t>ジョウホウ</t>
    </rPh>
    <rPh sb="130" eb="131">
      <t>ヒ</t>
    </rPh>
    <rPh sb="132" eb="133">
      <t>パ</t>
    </rPh>
    <rPh sb="144" eb="145">
      <t>チガ</t>
    </rPh>
    <rPh sb="147" eb="149">
      <t>バアイ</t>
    </rPh>
    <rPh sb="153" eb="154">
      <t>ヒ</t>
    </rPh>
    <rPh sb="155" eb="156">
      <t>パ</t>
    </rPh>
    <rPh sb="164" eb="165">
      <t>オモ</t>
    </rPh>
    <rPh sb="170" eb="172">
      <t>ツヅキガラ</t>
    </rPh>
    <rPh sb="173" eb="175">
      <t>セイネン</t>
    </rPh>
    <rPh sb="175" eb="177">
      <t>ガッピ</t>
    </rPh>
    <rPh sb="178" eb="180">
      <t>ドウキョ</t>
    </rPh>
    <rPh sb="181" eb="183">
      <t>ベッキョ</t>
    </rPh>
    <rPh sb="185" eb="187">
      <t>フヨウ</t>
    </rPh>
    <rPh sb="187" eb="189">
      <t>コウジョ</t>
    </rPh>
    <rPh sb="189" eb="191">
      <t>サンショウ</t>
    </rPh>
    <rPh sb="193" eb="194">
      <t>ニ</t>
    </rPh>
    <phoneticPr fontId="37"/>
  </si>
  <si>
    <t>↑C19-D19-F19</t>
    <phoneticPr fontId="37"/>
  </si>
  <si>
    <t>特徴希望</t>
    <rPh sb="0" eb="2">
      <t>トクチョウ</t>
    </rPh>
    <rPh sb="2" eb="4">
      <t>キボウ</t>
    </rPh>
    <phoneticPr fontId="37"/>
  </si>
  <si>
    <t>普徴希望</t>
    <rPh sb="0" eb="2">
      <t>フチョウ</t>
    </rPh>
    <rPh sb="2" eb="4">
      <t>キボウ</t>
    </rPh>
    <phoneticPr fontId="37"/>
  </si>
  <si>
    <t>E171-184で添付の数をカウント</t>
    <rPh sb="9" eb="11">
      <t>テンプ</t>
    </rPh>
    <rPh sb="12" eb="13">
      <t>カズ</t>
    </rPh>
    <phoneticPr fontId="37"/>
  </si>
  <si>
    <t>↓郵送で提出する際に御利用ください。切り取って任意の封筒に送付先として貼り付けてください。</t>
    <rPh sb="1" eb="3">
      <t>ユウソウ</t>
    </rPh>
    <rPh sb="4" eb="6">
      <t>テイシュツ</t>
    </rPh>
    <rPh sb="8" eb="9">
      <t>サイ</t>
    </rPh>
    <rPh sb="10" eb="13">
      <t>ゴリヨウ</t>
    </rPh>
    <rPh sb="18" eb="19">
      <t>キ</t>
    </rPh>
    <rPh sb="20" eb="21">
      <t>ト</t>
    </rPh>
    <rPh sb="23" eb="25">
      <t>ニンイ</t>
    </rPh>
    <rPh sb="26" eb="28">
      <t>フウトウ</t>
    </rPh>
    <rPh sb="29" eb="32">
      <t>ソウフサキ</t>
    </rPh>
    <rPh sb="35" eb="36">
      <t>ハ</t>
    </rPh>
    <rPh sb="37" eb="38">
      <t>ツ</t>
    </rPh>
    <phoneticPr fontId="37"/>
  </si>
  <si>
    <t>　
　　〒376-8501
　　桐生市織姫町1番1号
　　桐生市役所　税務課　市民税担当（市・県民税申告書在中）</t>
    <rPh sb="16" eb="19">
      <t>キリュウシ</t>
    </rPh>
    <rPh sb="19" eb="22">
      <t>オリヒメチョウ</t>
    </rPh>
    <rPh sb="23" eb="24">
      <t>バン</t>
    </rPh>
    <rPh sb="25" eb="26">
      <t>ゴウ</t>
    </rPh>
    <rPh sb="29" eb="32">
      <t>キリュウシ</t>
    </rPh>
    <rPh sb="32" eb="34">
      <t>ヤクショ</t>
    </rPh>
    <rPh sb="35" eb="38">
      <t>ゼイムカ</t>
    </rPh>
    <rPh sb="39" eb="42">
      <t>シミンゼイ</t>
    </rPh>
    <rPh sb="42" eb="44">
      <t>タントウ</t>
    </rPh>
    <rPh sb="45" eb="53">
      <t>シ</t>
    </rPh>
    <rPh sb="53" eb="55">
      <t>ザイチュウ</t>
    </rPh>
    <phoneticPr fontId="37"/>
  </si>
  <si>
    <t>勤労学生控除を選択し、かつ、合計所得金額が750,000以下なら260,000を返す。</t>
    <rPh sb="0" eb="2">
      <t>キンロウ</t>
    </rPh>
    <rPh sb="2" eb="4">
      <t>ガクセイ</t>
    </rPh>
    <rPh sb="4" eb="6">
      <t>コウジョ</t>
    </rPh>
    <rPh sb="7" eb="9">
      <t>センタク</t>
    </rPh>
    <rPh sb="14" eb="16">
      <t>ゴウケイ</t>
    </rPh>
    <rPh sb="16" eb="18">
      <t>ショトク</t>
    </rPh>
    <rPh sb="18" eb="20">
      <t>キンガク</t>
    </rPh>
    <rPh sb="28" eb="30">
      <t>イカ</t>
    </rPh>
    <rPh sb="40" eb="41">
      <t>カエ</t>
    </rPh>
    <phoneticPr fontId="37"/>
  </si>
  <si>
    <t>勤労学生控除</t>
    <rPh sb="0" eb="2">
      <t>キンロウ</t>
    </rPh>
    <rPh sb="2" eb="4">
      <t>ガクセイ</t>
    </rPh>
    <rPh sb="4" eb="6">
      <t>コウジョ</t>
    </rPh>
    <phoneticPr fontId="37"/>
  </si>
  <si>
    <t>医療費控除の明細書を作成して提出してください。領収書の提出は不要です。また、おむつ代やストマ用装具などの支出を申請する場合は、各種証明書も提出してください。</t>
    <rPh sb="0" eb="3">
      <t>イリョウヒ</t>
    </rPh>
    <rPh sb="3" eb="5">
      <t>コウジョ</t>
    </rPh>
    <rPh sb="6" eb="9">
      <t>メイサイショ</t>
    </rPh>
    <rPh sb="10" eb="12">
      <t>サクセイ</t>
    </rPh>
    <rPh sb="14" eb="16">
      <t>テイシュツ</t>
    </rPh>
    <rPh sb="23" eb="26">
      <t>リョウシュウショ</t>
    </rPh>
    <rPh sb="27" eb="29">
      <t>テイシュツ</t>
    </rPh>
    <rPh sb="30" eb="32">
      <t>フヨウ</t>
    </rPh>
    <rPh sb="41" eb="42">
      <t>ダイ</t>
    </rPh>
    <rPh sb="46" eb="47">
      <t>ヨウ</t>
    </rPh>
    <rPh sb="47" eb="49">
      <t>ソウグ</t>
    </rPh>
    <rPh sb="52" eb="54">
      <t>シシュツ</t>
    </rPh>
    <rPh sb="55" eb="57">
      <t>シンセイ</t>
    </rPh>
    <rPh sb="59" eb="61">
      <t>バアイ</t>
    </rPh>
    <rPh sb="63" eb="65">
      <t>カクシュ</t>
    </rPh>
    <rPh sb="65" eb="67">
      <t>ショウメイ</t>
    </rPh>
    <rPh sb="67" eb="68">
      <t>ショ</t>
    </rPh>
    <rPh sb="69" eb="71">
      <t>テイシュツ</t>
    </rPh>
    <phoneticPr fontId="37"/>
  </si>
  <si>
    <t>H121からJ121を引いた金額から12000円を引いた金額と88,000のいずれか小さい方を返す。マイナスの場合は0を返す。</t>
    <rPh sb="11" eb="12">
      <t>ヒ</t>
    </rPh>
    <rPh sb="14" eb="16">
      <t>キンガク</t>
    </rPh>
    <rPh sb="23" eb="24">
      <t>エン</t>
    </rPh>
    <rPh sb="25" eb="26">
      <t>ヒ</t>
    </rPh>
    <rPh sb="28" eb="30">
      <t>キンガク</t>
    </rPh>
    <rPh sb="42" eb="43">
      <t>チイ</t>
    </rPh>
    <rPh sb="45" eb="46">
      <t>ホウ</t>
    </rPh>
    <rPh sb="47" eb="48">
      <t>カエ</t>
    </rPh>
    <rPh sb="55" eb="57">
      <t>バアイ</t>
    </rPh>
    <rPh sb="60" eb="61">
      <t>カエ</t>
    </rPh>
    <phoneticPr fontId="37"/>
  </si>
  <si>
    <t>同居／別居</t>
    <rPh sb="3" eb="5">
      <t>ベッキョ</t>
    </rPh>
    <phoneticPr fontId="37"/>
  </si>
  <si>
    <t>注意喚起</t>
    <rPh sb="0" eb="2">
      <t>チュウイ</t>
    </rPh>
    <rPh sb="2" eb="4">
      <t>カンキ</t>
    </rPh>
    <phoneticPr fontId="37"/>
  </si>
  <si>
    <t>同居のところで本人が特別障害者で同居を選択されてしまうと同特の控除額になってしまうので、申告者本人が特別障害者をリストに入れていました。その時の注意喚起として作成しましたが、申告者本人が特別障害者の選択自体を削除したため使用していません。</t>
    <rPh sb="0" eb="2">
      <t>ドウキョ</t>
    </rPh>
    <rPh sb="7" eb="9">
      <t>ホンニン</t>
    </rPh>
    <rPh sb="10" eb="12">
      <t>トクベツ</t>
    </rPh>
    <rPh sb="12" eb="15">
      <t>ショウガイシャ</t>
    </rPh>
    <rPh sb="16" eb="18">
      <t>ドウキョ</t>
    </rPh>
    <rPh sb="19" eb="21">
      <t>センタク</t>
    </rPh>
    <phoneticPr fontId="37"/>
  </si>
  <si>
    <t>（イ）本人が住民票に世帯主と記載されていない場合に、本人の住民票に世帯主との続柄が世帯主の未届の夫または未届の妻である旨や、世帯主と事実上婚姻関係と同様の事情にあると認められる続柄である旨の記載がされているときのその世帯主</t>
    <phoneticPr fontId="37"/>
  </si>
  <si>
    <t>（ア）本人が住民票に世帯主と記載されている場合に、同一世帯内に世帯主との続柄が未届の夫または未届の妻である旨や、世帯主と事実上婚姻関係と同様の事情にあると認められる続柄である旨の記載がされた者</t>
    <rPh sb="3" eb="5">
      <t>ホンニン</t>
    </rPh>
    <rPh sb="6" eb="9">
      <t>ジュウミンヒョウ</t>
    </rPh>
    <rPh sb="10" eb="13">
      <t>セタイヌシ</t>
    </rPh>
    <rPh sb="14" eb="16">
      <t>キサイ</t>
    </rPh>
    <rPh sb="21" eb="23">
      <t>バアイ</t>
    </rPh>
    <rPh sb="25" eb="27">
      <t>ドウイツ</t>
    </rPh>
    <rPh sb="27" eb="29">
      <t>セタイ</t>
    </rPh>
    <rPh sb="29" eb="30">
      <t>ナイ</t>
    </rPh>
    <rPh sb="31" eb="34">
      <t>セタイヌシ</t>
    </rPh>
    <rPh sb="36" eb="38">
      <t>ツヅキガラ</t>
    </rPh>
    <rPh sb="39" eb="41">
      <t>ミトドケ</t>
    </rPh>
    <rPh sb="42" eb="43">
      <t>オット</t>
    </rPh>
    <rPh sb="46" eb="48">
      <t>ミトドケ</t>
    </rPh>
    <rPh sb="49" eb="50">
      <t>ツマ</t>
    </rPh>
    <rPh sb="53" eb="54">
      <t>ムネ</t>
    </rPh>
    <rPh sb="56" eb="59">
      <t>セタイヌシ</t>
    </rPh>
    <rPh sb="60" eb="63">
      <t>ジジツジョウ</t>
    </rPh>
    <rPh sb="63" eb="65">
      <t>コンイン</t>
    </rPh>
    <rPh sb="65" eb="67">
      <t>カンケイ</t>
    </rPh>
    <rPh sb="68" eb="70">
      <t>ドウヨウ</t>
    </rPh>
    <rPh sb="71" eb="73">
      <t>ジジョウ</t>
    </rPh>
    <rPh sb="77" eb="78">
      <t>ミト</t>
    </rPh>
    <rPh sb="82" eb="84">
      <t>ツヅキガラ</t>
    </rPh>
    <rPh sb="87" eb="88">
      <t>ムネ</t>
    </rPh>
    <rPh sb="89" eb="91">
      <t>キサイ</t>
    </rPh>
    <rPh sb="95" eb="96">
      <t>モノ</t>
    </rPh>
    <phoneticPr fontId="37"/>
  </si>
  <si>
    <t>※テキスト⇔日付⇔数字の変換で無駄があるかもしれません。数字でなくて日付で管理すれば、こんな面倒なことしなくてもスッキリさせられる気がします。</t>
    <rPh sb="6" eb="8">
      <t>ヒヅケ</t>
    </rPh>
    <rPh sb="9" eb="11">
      <t>スウジ</t>
    </rPh>
    <rPh sb="12" eb="14">
      <t>ヘンカン</t>
    </rPh>
    <rPh sb="15" eb="17">
      <t>ムダ</t>
    </rPh>
    <rPh sb="28" eb="30">
      <t>スウジ</t>
    </rPh>
    <rPh sb="34" eb="36">
      <t>ヒヅケ</t>
    </rPh>
    <rPh sb="37" eb="39">
      <t>カンリ</t>
    </rPh>
    <rPh sb="46" eb="48">
      <t>メンドウ</t>
    </rPh>
    <rPh sb="65" eb="66">
      <t>キ</t>
    </rPh>
    <phoneticPr fontId="37"/>
  </si>
  <si>
    <t>給与・公的年金</t>
    <rPh sb="0" eb="2">
      <t>キュウヨ</t>
    </rPh>
    <rPh sb="3" eb="5">
      <t>コウテキ</t>
    </rPh>
    <rPh sb="5" eb="7">
      <t>ネンキン</t>
    </rPh>
    <phoneticPr fontId="37"/>
  </si>
  <si>
    <t>調整控除(子育て介護)：給与収入で調整控除を適用する■を選択し,かつ給与収入850万円超の人について控除額を算出。特障控除・23歳未満の扶養まで判定に入れていません。</t>
    <rPh sb="0" eb="2">
      <t>チョウセイ</t>
    </rPh>
    <rPh sb="2" eb="4">
      <t>コウジョ</t>
    </rPh>
    <rPh sb="5" eb="7">
      <t>コソダ</t>
    </rPh>
    <rPh sb="8" eb="10">
      <t>カイゴ</t>
    </rPh>
    <rPh sb="12" eb="14">
      <t>キュウヨ</t>
    </rPh>
    <rPh sb="14" eb="16">
      <t>シュウニュウ</t>
    </rPh>
    <rPh sb="17" eb="19">
      <t>チョウセイ</t>
    </rPh>
    <rPh sb="19" eb="21">
      <t>コウジョ</t>
    </rPh>
    <rPh sb="22" eb="24">
      <t>テキヨウ</t>
    </rPh>
    <rPh sb="28" eb="30">
      <t>センタク</t>
    </rPh>
    <rPh sb="34" eb="36">
      <t>キュウヨ</t>
    </rPh>
    <rPh sb="36" eb="38">
      <t>シュウニュウ</t>
    </rPh>
    <rPh sb="41" eb="43">
      <t>マンエン</t>
    </rPh>
    <rPh sb="43" eb="44">
      <t>チョウ</t>
    </rPh>
    <rPh sb="45" eb="46">
      <t>ヒト</t>
    </rPh>
    <rPh sb="50" eb="52">
      <t>コウジョ</t>
    </rPh>
    <rPh sb="52" eb="53">
      <t>ガク</t>
    </rPh>
    <rPh sb="54" eb="56">
      <t>サンシュツ</t>
    </rPh>
    <rPh sb="57" eb="59">
      <t>トクショウ</t>
    </rPh>
    <rPh sb="59" eb="61">
      <t>コウジョ</t>
    </rPh>
    <rPh sb="64" eb="67">
      <t>サイミマン</t>
    </rPh>
    <rPh sb="68" eb="70">
      <t>フヨウ</t>
    </rPh>
    <rPh sb="72" eb="74">
      <t>ハンテイ</t>
    </rPh>
    <rPh sb="75" eb="76">
      <t>イ</t>
    </rPh>
    <phoneticPr fontId="37"/>
  </si>
  <si>
    <t>営業所得等</t>
    <rPh sb="0" eb="2">
      <t>エイギョウ</t>
    </rPh>
    <rPh sb="2" eb="4">
      <t>ショトク</t>
    </rPh>
    <rPh sb="4" eb="5">
      <t>トウ</t>
    </rPh>
    <phoneticPr fontId="37"/>
  </si>
  <si>
    <t>それぞれ、生年月日がD84以下、かつ、J77-73が同居（直系尊属）なら450,000、これに当てはまらず、D84以下なら380,000、D84超かつE84以下なら330,000、E84超かつF84以下なら450,000、F84超かつG84以下なら330,000、いずれにも当てはまらないなら0</t>
    <rPh sb="5" eb="7">
      <t>セイネン</t>
    </rPh>
    <rPh sb="7" eb="9">
      <t>ガッピ</t>
    </rPh>
    <rPh sb="13" eb="15">
      <t>イカ</t>
    </rPh>
    <rPh sb="26" eb="28">
      <t>ドウキョ</t>
    </rPh>
    <rPh sb="29" eb="31">
      <t>チョッケイ</t>
    </rPh>
    <rPh sb="31" eb="33">
      <t>ソンゾク</t>
    </rPh>
    <rPh sb="47" eb="48">
      <t>ア</t>
    </rPh>
    <rPh sb="57" eb="59">
      <t>イカ</t>
    </rPh>
    <rPh sb="72" eb="73">
      <t>チョウ</t>
    </rPh>
    <rPh sb="78" eb="80">
      <t>イカ</t>
    </rPh>
    <rPh sb="93" eb="94">
      <t>チョウ</t>
    </rPh>
    <rPh sb="99" eb="101">
      <t>イカ</t>
    </rPh>
    <rPh sb="114" eb="115">
      <t>チョウ</t>
    </rPh>
    <rPh sb="120" eb="122">
      <t>イカ</t>
    </rPh>
    <rPh sb="137" eb="138">
      <t>ア</t>
    </rPh>
    <phoneticPr fontId="37"/>
  </si>
  <si>
    <t>所得金額調整控除選択かつ給与収入850万円超なら、F107-108に特別障害者があったときにJ107-108のカナ氏名を返す。当てはまらないなら空白。エラーになるなら空白。</t>
    <rPh sb="0" eb="2">
      <t>ショトク</t>
    </rPh>
    <rPh sb="2" eb="4">
      <t>キンガク</t>
    </rPh>
    <rPh sb="4" eb="6">
      <t>チョウセイ</t>
    </rPh>
    <rPh sb="6" eb="8">
      <t>コウジョ</t>
    </rPh>
    <rPh sb="8" eb="10">
      <t>センタク</t>
    </rPh>
    <rPh sb="12" eb="14">
      <t>キュウヨ</t>
    </rPh>
    <rPh sb="14" eb="16">
      <t>シュウニュウ</t>
    </rPh>
    <rPh sb="19" eb="21">
      <t>マンエン</t>
    </rPh>
    <rPh sb="21" eb="22">
      <t>チョウ</t>
    </rPh>
    <rPh sb="34" eb="36">
      <t>トクベツ</t>
    </rPh>
    <rPh sb="36" eb="39">
      <t>ショウガイシャ</t>
    </rPh>
    <rPh sb="57" eb="59">
      <t>シメイ</t>
    </rPh>
    <rPh sb="60" eb="61">
      <t>カエ</t>
    </rPh>
    <rPh sb="63" eb="64">
      <t>ア</t>
    </rPh>
    <rPh sb="72" eb="74">
      <t>クウハク</t>
    </rPh>
    <rPh sb="83" eb="85">
      <t>クウハク</t>
    </rPh>
    <phoneticPr fontId="37"/>
  </si>
  <si>
    <t>所得金額調整控除選択かつ給与収入850万円超なら、F107-108に特別障害者があったときK107-108の氏名を返す。当てはまらないなら空白。エラーになるなら空白。</t>
    <rPh sb="0" eb="2">
      <t>ショトク</t>
    </rPh>
    <rPh sb="2" eb="4">
      <t>キンガク</t>
    </rPh>
    <rPh sb="4" eb="6">
      <t>チョウセイ</t>
    </rPh>
    <rPh sb="6" eb="8">
      <t>コウジョ</t>
    </rPh>
    <rPh sb="8" eb="10">
      <t>センタク</t>
    </rPh>
    <rPh sb="12" eb="14">
      <t>キュウヨ</t>
    </rPh>
    <rPh sb="14" eb="16">
      <t>シュウニュウ</t>
    </rPh>
    <rPh sb="19" eb="21">
      <t>マンエン</t>
    </rPh>
    <rPh sb="21" eb="22">
      <t>チョウ</t>
    </rPh>
    <rPh sb="34" eb="36">
      <t>トクベツ</t>
    </rPh>
    <rPh sb="36" eb="39">
      <t>ショウガイシャ</t>
    </rPh>
    <rPh sb="54" eb="56">
      <t>シメイ</t>
    </rPh>
    <rPh sb="57" eb="58">
      <t>カエ</t>
    </rPh>
    <rPh sb="60" eb="61">
      <t>ア</t>
    </rPh>
    <rPh sb="69" eb="71">
      <t>クウハク</t>
    </rPh>
    <rPh sb="80" eb="82">
      <t>クウハク</t>
    </rPh>
    <phoneticPr fontId="37"/>
  </si>
  <si>
    <t>所得金額調整控除選択かつ給与収入850万円超なら、F107-108に特別障害者があったときにI107-108の障害の程度を返す。当てはまらないなら空白。エラーになるなら空白。</t>
    <rPh sb="0" eb="2">
      <t>ショトク</t>
    </rPh>
    <rPh sb="2" eb="4">
      <t>キンガク</t>
    </rPh>
    <rPh sb="4" eb="6">
      <t>チョウセイ</t>
    </rPh>
    <rPh sb="6" eb="8">
      <t>コウジョ</t>
    </rPh>
    <rPh sb="8" eb="10">
      <t>センタク</t>
    </rPh>
    <rPh sb="12" eb="14">
      <t>キュウヨ</t>
    </rPh>
    <rPh sb="14" eb="16">
      <t>シュウニュウ</t>
    </rPh>
    <rPh sb="19" eb="21">
      <t>マンエン</t>
    </rPh>
    <rPh sb="21" eb="22">
      <t>チョウ</t>
    </rPh>
    <rPh sb="34" eb="36">
      <t>トクベツ</t>
    </rPh>
    <rPh sb="36" eb="39">
      <t>ショウガイシャ</t>
    </rPh>
    <rPh sb="55" eb="57">
      <t>ショウガイ</t>
    </rPh>
    <rPh sb="58" eb="60">
      <t>テイド</t>
    </rPh>
    <rPh sb="61" eb="62">
      <t>カエ</t>
    </rPh>
    <rPh sb="64" eb="65">
      <t>ア</t>
    </rPh>
    <rPh sb="73" eb="75">
      <t>クウハク</t>
    </rPh>
    <rPh sb="84" eb="86">
      <t>クウハク</t>
    </rPh>
    <phoneticPr fontId="37"/>
  </si>
  <si>
    <t>J109が空白なら空白。当てはまらないなら、扶養控除参照
（障害者控除欄に生年月日、続柄、住所を入力する欄がないので、扶養控除参照のセルを作成しました。）</t>
    <rPh sb="5" eb="7">
      <t>クウハク</t>
    </rPh>
    <rPh sb="9" eb="11">
      <t>クウハク</t>
    </rPh>
    <rPh sb="12" eb="13">
      <t>ア</t>
    </rPh>
    <rPh sb="30" eb="33">
      <t>ショウガイシャ</t>
    </rPh>
    <rPh sb="33" eb="35">
      <t>コウジョ</t>
    </rPh>
    <rPh sb="35" eb="36">
      <t>ラン</t>
    </rPh>
    <rPh sb="37" eb="39">
      <t>セイネン</t>
    </rPh>
    <rPh sb="39" eb="41">
      <t>ガッピ</t>
    </rPh>
    <rPh sb="42" eb="44">
      <t>ツヅキガラ</t>
    </rPh>
    <rPh sb="45" eb="47">
      <t>ジュウショ</t>
    </rPh>
    <rPh sb="48" eb="50">
      <t>ニュウリョク</t>
    </rPh>
    <rPh sb="52" eb="53">
      <t>ラン</t>
    </rPh>
    <rPh sb="59" eb="61">
      <t>フヨウ</t>
    </rPh>
    <rPh sb="61" eb="63">
      <t>コウジョ</t>
    </rPh>
    <rPh sb="63" eb="65">
      <t>サンショウ</t>
    </rPh>
    <rPh sb="69" eb="71">
      <t>サクセイ</t>
    </rPh>
    <phoneticPr fontId="37"/>
  </si>
  <si>
    <t>寡婦控除・ひとり親控除の選択によって控除額を表示させます。両方選択していた場合は、両方選択できない旨を表示。ただし、両方選択した場合は、ひとり親控除を優先した控除額としています。</t>
    <rPh sb="0" eb="2">
      <t>カフ</t>
    </rPh>
    <rPh sb="2" eb="4">
      <t>コウジョ</t>
    </rPh>
    <rPh sb="8" eb="9">
      <t>オヤ</t>
    </rPh>
    <rPh sb="9" eb="11">
      <t>コウジョ</t>
    </rPh>
    <rPh sb="12" eb="14">
      <t>センタク</t>
    </rPh>
    <rPh sb="18" eb="20">
      <t>コウジョ</t>
    </rPh>
    <rPh sb="20" eb="21">
      <t>ガク</t>
    </rPh>
    <rPh sb="22" eb="24">
      <t>ヒョウジ</t>
    </rPh>
    <rPh sb="29" eb="31">
      <t>リョウホウ</t>
    </rPh>
    <rPh sb="31" eb="33">
      <t>センタク</t>
    </rPh>
    <rPh sb="37" eb="39">
      <t>バアイ</t>
    </rPh>
    <rPh sb="41" eb="43">
      <t>リョウホウ</t>
    </rPh>
    <rPh sb="43" eb="45">
      <t>センタク</t>
    </rPh>
    <rPh sb="49" eb="50">
      <t>ムネ</t>
    </rPh>
    <rPh sb="51" eb="53">
      <t>ヒョウジ</t>
    </rPh>
    <rPh sb="58" eb="60">
      <t>リョウホウ</t>
    </rPh>
    <rPh sb="60" eb="62">
      <t>センタク</t>
    </rPh>
    <rPh sb="64" eb="66">
      <t>バアイ</t>
    </rPh>
    <rPh sb="71" eb="72">
      <t>オヤ</t>
    </rPh>
    <rPh sb="72" eb="74">
      <t>コウジョ</t>
    </rPh>
    <rPh sb="75" eb="77">
      <t>ユウセン</t>
    </rPh>
    <rPh sb="79" eb="81">
      <t>コウジョ</t>
    </rPh>
    <rPh sb="81" eb="82">
      <t>ガク</t>
    </rPh>
    <phoneticPr fontId="37"/>
  </si>
  <si>
    <t>公開時のパスワードは、「@I8i1i3I5K9s5s9N4m3!」</t>
    <rPh sb="0" eb="2">
      <t>コウカイ</t>
    </rPh>
    <rPh sb="2" eb="3">
      <t>ジ</t>
    </rPh>
    <phoneticPr fontId="37"/>
  </si>
  <si>
    <t>DATEVLUEでG59を処理し、yyyymmddの表示とした後に、VALUEで数字に変換する。この処理ができなくてエラーになった人を0で返す。</t>
    <rPh sb="13" eb="15">
      <t>ショリ</t>
    </rPh>
    <rPh sb="26" eb="28">
      <t>ヒョウジ</t>
    </rPh>
    <rPh sb="31" eb="32">
      <t>アト</t>
    </rPh>
    <rPh sb="40" eb="42">
      <t>スウジ</t>
    </rPh>
    <rPh sb="43" eb="45">
      <t>ヘンカン</t>
    </rPh>
    <rPh sb="50" eb="52">
      <t>ショリ</t>
    </rPh>
    <rPh sb="65" eb="66">
      <t>ヒト</t>
    </rPh>
    <rPh sb="69" eb="70">
      <t>カエ</t>
    </rPh>
    <phoneticPr fontId="37"/>
  </si>
  <si>
    <t>生年月日H59が0なら空白を返す。空白でないときで、480,000超かつ1,000,000以下かつ合計所得900万円以下なら330,000を返す。空白でなく、条件にも当てはまらないなら空白を返す。</t>
    <rPh sb="0" eb="2">
      <t>セイネン</t>
    </rPh>
    <rPh sb="2" eb="4">
      <t>ガッピ</t>
    </rPh>
    <rPh sb="11" eb="13">
      <t>クウハク</t>
    </rPh>
    <rPh sb="14" eb="15">
      <t>カエ</t>
    </rPh>
    <rPh sb="17" eb="19">
      <t>クウハク</t>
    </rPh>
    <rPh sb="33" eb="34">
      <t>チョウ</t>
    </rPh>
    <rPh sb="45" eb="47">
      <t>イカ</t>
    </rPh>
    <rPh sb="49" eb="51">
      <t>ゴウケイ</t>
    </rPh>
    <rPh sb="51" eb="53">
      <t>ショトク</t>
    </rPh>
    <rPh sb="56" eb="58">
      <t>マンエン</t>
    </rPh>
    <rPh sb="58" eb="60">
      <t>イカ</t>
    </rPh>
    <rPh sb="70" eb="71">
      <t>カエ</t>
    </rPh>
    <rPh sb="73" eb="75">
      <t>クウハク</t>
    </rPh>
    <rPh sb="79" eb="81">
      <t>ジョウケン</t>
    </rPh>
    <rPh sb="83" eb="84">
      <t>ア</t>
    </rPh>
    <rPh sb="92" eb="94">
      <t>クウハク</t>
    </rPh>
    <rPh sb="95" eb="96">
      <t>カエ</t>
    </rPh>
    <phoneticPr fontId="37"/>
  </si>
  <si>
    <t>生年月日H59が0なら空白を返す。空白でないときで、480,000超かつ1,000,000以下かつ合計所得900万円超950万円以下なら220,000を返す。空白でなく、条件にも当てはまらないなら空白を返す。</t>
    <rPh sb="11" eb="13">
      <t>クウハク</t>
    </rPh>
    <rPh sb="14" eb="15">
      <t>カエ</t>
    </rPh>
    <rPh sb="17" eb="19">
      <t>クウハク</t>
    </rPh>
    <rPh sb="33" eb="34">
      <t>チョウ</t>
    </rPh>
    <rPh sb="45" eb="47">
      <t>イカ</t>
    </rPh>
    <rPh sb="49" eb="51">
      <t>ゴウケイ</t>
    </rPh>
    <rPh sb="51" eb="53">
      <t>ショトク</t>
    </rPh>
    <rPh sb="56" eb="58">
      <t>マンエン</t>
    </rPh>
    <rPh sb="58" eb="59">
      <t>チョウ</t>
    </rPh>
    <rPh sb="62" eb="64">
      <t>マンエン</t>
    </rPh>
    <rPh sb="64" eb="66">
      <t>イカ</t>
    </rPh>
    <rPh sb="76" eb="77">
      <t>カエ</t>
    </rPh>
    <rPh sb="79" eb="81">
      <t>クウハク</t>
    </rPh>
    <rPh sb="85" eb="87">
      <t>ジョウケン</t>
    </rPh>
    <rPh sb="89" eb="90">
      <t>ア</t>
    </rPh>
    <rPh sb="98" eb="100">
      <t>クウハク</t>
    </rPh>
    <rPh sb="101" eb="102">
      <t>カエ</t>
    </rPh>
    <phoneticPr fontId="37"/>
  </si>
  <si>
    <t>生年月日H59が0なら空白を返す。空白でないときで、480,000超かつ1,000,000以下かつ合計所得950万円超1000万円以下なら110,000を返す。空白でなく、条件にも当てはまらないなら空白を返す。</t>
    <rPh sb="11" eb="13">
      <t>クウハク</t>
    </rPh>
    <rPh sb="14" eb="15">
      <t>カエ</t>
    </rPh>
    <rPh sb="17" eb="19">
      <t>クウハク</t>
    </rPh>
    <rPh sb="33" eb="34">
      <t>チョウ</t>
    </rPh>
    <rPh sb="45" eb="47">
      <t>イカ</t>
    </rPh>
    <rPh sb="49" eb="51">
      <t>ゴウケイ</t>
    </rPh>
    <rPh sb="51" eb="53">
      <t>ショトク</t>
    </rPh>
    <rPh sb="56" eb="58">
      <t>マンエン</t>
    </rPh>
    <rPh sb="58" eb="59">
      <t>チョウ</t>
    </rPh>
    <rPh sb="63" eb="65">
      <t>マンエン</t>
    </rPh>
    <rPh sb="65" eb="67">
      <t>イカ</t>
    </rPh>
    <rPh sb="77" eb="78">
      <t>カエ</t>
    </rPh>
    <rPh sb="80" eb="82">
      <t>クウハク</t>
    </rPh>
    <rPh sb="86" eb="88">
      <t>ジョウケン</t>
    </rPh>
    <rPh sb="90" eb="91">
      <t>ア</t>
    </rPh>
    <rPh sb="99" eb="101">
      <t>クウハク</t>
    </rPh>
    <rPh sb="102" eb="103">
      <t>カエ</t>
    </rPh>
    <phoneticPr fontId="37"/>
  </si>
  <si>
    <t>生年月日H59が0なら空白を返す。空白でないときで、1,000,000超かつ1,050,000以下かつ合計所得900万円以下なら310,000を返す。空白でなく、条件にも当てはまらないなら空白を返す。</t>
    <rPh sb="0" eb="2">
      <t>セイネン</t>
    </rPh>
    <rPh sb="2" eb="4">
      <t>ガッピ</t>
    </rPh>
    <rPh sb="11" eb="13">
      <t>クウハク</t>
    </rPh>
    <rPh sb="14" eb="15">
      <t>カエ</t>
    </rPh>
    <rPh sb="17" eb="19">
      <t>クウハク</t>
    </rPh>
    <rPh sb="35" eb="36">
      <t>チョウ</t>
    </rPh>
    <rPh sb="47" eb="49">
      <t>イカ</t>
    </rPh>
    <rPh sb="72" eb="73">
      <t>カエ</t>
    </rPh>
    <rPh sb="75" eb="77">
      <t>クウハク</t>
    </rPh>
    <rPh sb="81" eb="83">
      <t>ジョウケン</t>
    </rPh>
    <rPh sb="85" eb="86">
      <t>ア</t>
    </rPh>
    <rPh sb="94" eb="96">
      <t>クウハク</t>
    </rPh>
    <rPh sb="97" eb="98">
      <t>カエ</t>
    </rPh>
    <phoneticPr fontId="37"/>
  </si>
  <si>
    <t>生年月日H59が0なら空白を返す。空白でないときで、1,000,000超かつ1,050,000以下かつ合計所得900万円超950万円以下なら210,000を返す。空白でなく、条件にも当てはまらないなら空白を返す。</t>
    <rPh sb="11" eb="13">
      <t>クウハク</t>
    </rPh>
    <rPh sb="14" eb="15">
      <t>カエ</t>
    </rPh>
    <rPh sb="17" eb="19">
      <t>クウハク</t>
    </rPh>
    <rPh sb="35" eb="36">
      <t>チョウ</t>
    </rPh>
    <rPh sb="47" eb="49">
      <t>イカ</t>
    </rPh>
    <rPh sb="66" eb="68">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</si>
  <si>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生年月日H59が0なら空白を返す。空白でないときで、1,000,000超かつ1,050,000以下かつ合計所得950万円超1000万円以下なら110,000を返す。空白でなく、条件にも当てはまらないなら空白を返す。</t>
    <rPh sb="11" eb="13">
      <t>クウハク</t>
    </rPh>
    <rPh sb="14" eb="15">
      <t>カエ</t>
    </rPh>
    <rPh sb="17" eb="19">
      <t>クウハク</t>
    </rPh>
    <rPh sb="35" eb="36">
      <t>チョウ</t>
    </rPh>
    <rPh sb="47" eb="49">
      <t>イカ</t>
    </rPh>
    <rPh sb="67" eb="69">
      <t>イカ</t>
    </rPh>
    <rPh sb="79" eb="80">
      <t>カエ</t>
    </rPh>
    <rPh sb="82" eb="84">
      <t>クウハク</t>
    </rPh>
    <rPh sb="88" eb="90">
      <t>ジョウケン</t>
    </rPh>
    <rPh sb="92" eb="93">
      <t>ア</t>
    </rPh>
    <rPh sb="101" eb="103">
      <t>クウハク</t>
    </rPh>
    <rPh sb="104" eb="105">
      <t>カエ</t>
    </rPh>
    <phoneticPr fontId="37"/>
  </si>
  <si>
    <t>生年月日H59が0なら空白を返す。空白でないときで、1,050,000超かつ1,100,000以下かつ合計所得900万円以下なら260,000を返す。空白でなく、条件にも当てはまらないなら空白を返す。</t>
    <rPh sb="0" eb="2">
      <t>セイネン</t>
    </rPh>
    <rPh sb="2" eb="4">
      <t>ガッピ</t>
    </rPh>
    <rPh sb="11" eb="13">
      <t>クウハク</t>
    </rPh>
    <rPh sb="14" eb="15">
      <t>カエ</t>
    </rPh>
    <rPh sb="17" eb="19">
      <t>クウハク</t>
    </rPh>
    <rPh sb="35" eb="36">
      <t>チョウ</t>
    </rPh>
    <rPh sb="47" eb="49">
      <t>イカ</t>
    </rPh>
    <rPh sb="72" eb="73">
      <t>カエ</t>
    </rPh>
    <rPh sb="75" eb="77">
      <t>クウハク</t>
    </rPh>
    <rPh sb="81" eb="83">
      <t>ジョウケン</t>
    </rPh>
    <rPh sb="85" eb="86">
      <t>ア</t>
    </rPh>
    <rPh sb="94" eb="96">
      <t>クウハク</t>
    </rPh>
    <rPh sb="97" eb="98">
      <t>カエ</t>
    </rPh>
    <phoneticPr fontId="37"/>
  </si>
  <si>
    <t>生年月日H59が0なら空白を返す。空白でないときで、1,050,000超かつ1,100,000以下かつ合計所得900万円超950万円以下なら180,000を返す。空白でなく、条件にも当てはまらないなら空白を返す。</t>
    <rPh sb="11" eb="13">
      <t>クウハク</t>
    </rPh>
    <rPh sb="14" eb="15">
      <t>カエ</t>
    </rPh>
    <rPh sb="17" eb="19">
      <t>クウハク</t>
    </rPh>
    <rPh sb="35" eb="36">
      <t>チョウ</t>
    </rPh>
    <rPh sb="47" eb="49">
      <t>イカ</t>
    </rPh>
    <rPh sb="66" eb="68">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</si>
  <si>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生年月日H59が0なら空白を返す。空白でないときで、1,050,000超かつ1,100,000以下かつ合計所得950万円超1000万円以下なら90,000を返す。空白でなく、条件にも当てはまらないなら空白を返す。</t>
    <rPh sb="11" eb="13">
      <t>クウハク</t>
    </rPh>
    <rPh sb="14" eb="15">
      <t>カエ</t>
    </rPh>
    <rPh sb="17" eb="19">
      <t>クウハク</t>
    </rPh>
    <rPh sb="35" eb="36">
      <t>チョウ</t>
    </rPh>
    <rPh sb="47" eb="49">
      <t>イカ</t>
    </rPh>
    <rPh sb="67" eb="69">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</si>
  <si>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生年月日H59が0なら空白を返す。空白でないときで、1,100,000超かつ1,150,000以下かつ合計所得900万円以下なら210,000を返す。空白でなく、条件にも当てはまらないなら空白を返す。</t>
    <rPh sb="0" eb="2">
      <t>セイネン</t>
    </rPh>
    <rPh sb="2" eb="4">
      <t>ガッピ</t>
    </rPh>
    <rPh sb="11" eb="13">
      <t>クウハク</t>
    </rPh>
    <rPh sb="14" eb="15">
      <t>カエ</t>
    </rPh>
    <rPh sb="17" eb="19">
      <t>クウハク</t>
    </rPh>
    <rPh sb="35" eb="36">
      <t>チョウ</t>
    </rPh>
    <rPh sb="47" eb="49">
      <t>イカ</t>
    </rPh>
    <rPh sb="72" eb="73">
      <t>カエ</t>
    </rPh>
    <rPh sb="75" eb="77">
      <t>クウハク</t>
    </rPh>
    <rPh sb="81" eb="83">
      <t>ジョウケン</t>
    </rPh>
    <rPh sb="85" eb="86">
      <t>ア</t>
    </rPh>
    <rPh sb="94" eb="96">
      <t>クウハク</t>
    </rPh>
    <rPh sb="97" eb="98">
      <t>カエ</t>
    </rPh>
    <phoneticPr fontId="37"/>
  </si>
  <si>
    <t>生年月日H59が0なら空白を返す。空白でないときで、1,100,000超かつ1,150,000以下かつ合計所得900万円超950万円以下なら140,000を返す。空白でなく、条件にも当てはまらないなら空白を返す。</t>
    <rPh sb="11" eb="13">
      <t>クウハク</t>
    </rPh>
    <rPh sb="14" eb="15">
      <t>カエ</t>
    </rPh>
    <rPh sb="17" eb="19">
      <t>クウハク</t>
    </rPh>
    <rPh sb="35" eb="36">
      <t>チョウ</t>
    </rPh>
    <rPh sb="47" eb="49">
      <t>イカ</t>
    </rPh>
    <rPh sb="66" eb="68">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</si>
  <si>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生年月日H59が0なら空白を返す。空白でないときで、1,100,000超かつ1,150,000以下かつ合計所得950万円超1000万円以下なら70,000を返す。空白でなく、条件にも当てはまらないなら空白を返す。</t>
    <rPh sb="11" eb="13">
      <t>クウハク</t>
    </rPh>
    <rPh sb="14" eb="15">
      <t>カエ</t>
    </rPh>
    <rPh sb="17" eb="19">
      <t>クウハク</t>
    </rPh>
    <rPh sb="35" eb="36">
      <t>チョウ</t>
    </rPh>
    <rPh sb="47" eb="49">
      <t>イカ</t>
    </rPh>
    <rPh sb="67" eb="69">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</si>
  <si>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生年月日H59が0なら空白を返す。空白でないときで、1,150,000超かつ1,200,000以下かつ合計所得900万円以下なら160,000を返す。空白でなく、条件にも当てはまらないなら空白を返す。</t>
    <rPh sb="0" eb="2">
      <t>セイネン</t>
    </rPh>
    <rPh sb="2" eb="4">
      <t>ガッピ</t>
    </rPh>
    <rPh sb="11" eb="13">
      <t>クウハク</t>
    </rPh>
    <rPh sb="14" eb="15">
      <t>カエ</t>
    </rPh>
    <rPh sb="17" eb="19">
      <t>クウハク</t>
    </rPh>
    <rPh sb="35" eb="36">
      <t>チョウ</t>
    </rPh>
    <rPh sb="47" eb="49">
      <t>イカ</t>
    </rPh>
    <rPh sb="72" eb="73">
      <t>カエ</t>
    </rPh>
    <rPh sb="75" eb="77">
      <t>クウハク</t>
    </rPh>
    <rPh sb="81" eb="83">
      <t>ジョウケン</t>
    </rPh>
    <rPh sb="85" eb="86">
      <t>ア</t>
    </rPh>
    <rPh sb="94" eb="96">
      <t>クウハク</t>
    </rPh>
    <rPh sb="97" eb="98">
      <t>カエ</t>
    </rPh>
    <phoneticPr fontId="37"/>
  </si>
  <si>
    <t>生年月日H59が0なら空白を返す。空白でないときで、1,150,000超かつ1,200,000以下かつ合計所得900万円超950万円以下なら110,000を返す。空白でなく、条件にも当てはまらないなら空白を返す。</t>
    <rPh sb="11" eb="13">
      <t>クウハク</t>
    </rPh>
    <rPh sb="14" eb="15">
      <t>カエ</t>
    </rPh>
    <rPh sb="17" eb="19">
      <t>クウハク</t>
    </rPh>
    <rPh sb="35" eb="36">
      <t>チョウ</t>
    </rPh>
    <rPh sb="47" eb="49">
      <t>イカ</t>
    </rPh>
    <rPh sb="66" eb="68">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</si>
  <si>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生年月日H59が0なら空白を返す。空白でないときで、1,150,000超かつ1,200,000以下かつ合計所得950万円超1000万円以下なら60,000を返す。空白でなく、条件にも当てはまらないなら空白を返す。</t>
    <rPh sb="11" eb="13">
      <t>クウハク</t>
    </rPh>
    <rPh sb="14" eb="15">
      <t>カエ</t>
    </rPh>
    <rPh sb="17" eb="19">
      <t>クウハク</t>
    </rPh>
    <rPh sb="35" eb="36">
      <t>チョウ</t>
    </rPh>
    <rPh sb="47" eb="49">
      <t>イカ</t>
    </rPh>
    <rPh sb="67" eb="69">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</si>
  <si>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生年月日H59が0なら空白を返す。空白でないときで、1,200,000超かつ1,250,000以下かつ合計所得900万円以下なら110,000を返す。空白でなく、条件にも当てはまらないなら空白を返す。</t>
    <rPh sb="0" eb="2">
      <t>セイネン</t>
    </rPh>
    <rPh sb="2" eb="4">
      <t>ガッピ</t>
    </rPh>
    <rPh sb="11" eb="13">
      <t>クウハク</t>
    </rPh>
    <rPh sb="14" eb="15">
      <t>カエ</t>
    </rPh>
    <rPh sb="17" eb="19">
      <t>クウハク</t>
    </rPh>
    <rPh sb="35" eb="36">
      <t>チョウ</t>
    </rPh>
    <rPh sb="47" eb="49">
      <t>イカ</t>
    </rPh>
    <rPh sb="72" eb="73">
      <t>カエ</t>
    </rPh>
    <rPh sb="75" eb="77">
      <t>クウハク</t>
    </rPh>
    <rPh sb="81" eb="83">
      <t>ジョウケン</t>
    </rPh>
    <rPh sb="85" eb="86">
      <t>ア</t>
    </rPh>
    <rPh sb="94" eb="96">
      <t>クウハク</t>
    </rPh>
    <rPh sb="97" eb="98">
      <t>カエ</t>
    </rPh>
    <phoneticPr fontId="37"/>
  </si>
  <si>
    <t>生年月日H59が0なら空白を返す。空白でないときで、1,200,000超かつ1,250,000以下かつ合計所得900万円超950万円以下なら80,000を返す。空白でなく、条件にも当てはまらないなら空白を返す。</t>
    <rPh sb="11" eb="13">
      <t>クウハク</t>
    </rPh>
    <rPh sb="14" eb="15">
      <t>カエ</t>
    </rPh>
    <rPh sb="17" eb="19">
      <t>クウハク</t>
    </rPh>
    <rPh sb="35" eb="36">
      <t>チョウ</t>
    </rPh>
    <rPh sb="47" eb="49">
      <t>イカ</t>
    </rPh>
    <rPh sb="66" eb="68">
      <t>イカ</t>
    </rPh>
    <rPh sb="77" eb="78">
      <t>カエ</t>
    </rPh>
    <rPh sb="80" eb="82">
      <t>クウハク</t>
    </rPh>
    <rPh sb="86" eb="88">
      <t>ジョウケン</t>
    </rPh>
    <rPh sb="90" eb="91">
      <t>ア</t>
    </rPh>
    <rPh sb="99" eb="101">
      <t>クウハク</t>
    </rPh>
    <rPh sb="102" eb="103">
      <t>カエ</t>
    </rPh>
    <phoneticPr fontId="37"/>
  </si>
  <si>
    <t>生年月日H59が0なら空白を返す。空白でないときで、1,200,000超かつ1,250,000以下かつ合計所得950万円超1000万円以下なら40,000を返す。空白でなく、条件にも当てはまらないなら空白を返す。</t>
    <rPh sb="11" eb="13">
      <t>クウハク</t>
    </rPh>
    <rPh sb="14" eb="15">
      <t>カエ</t>
    </rPh>
    <rPh sb="17" eb="19">
      <t>クウハク</t>
    </rPh>
    <rPh sb="35" eb="36">
      <t>チョウ</t>
    </rPh>
    <rPh sb="47" eb="49">
      <t>イカ</t>
    </rPh>
    <rPh sb="67" eb="69">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</si>
  <si>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生年月日H59が0なら空白を返す。空白でないときで、1,250,000超かつ1,300,000以下かつ合計所得900万円以下なら60,000を返す。空白でなく、条件にも当てはまらないなら空白を返す。</t>
    <rPh sb="0" eb="2">
      <t>セイネン</t>
    </rPh>
    <rPh sb="2" eb="4">
      <t>ガッピ</t>
    </rPh>
    <rPh sb="11" eb="13">
      <t>クウハク</t>
    </rPh>
    <rPh sb="14" eb="15">
      <t>カエ</t>
    </rPh>
    <rPh sb="17" eb="19">
      <t>クウハク</t>
    </rPh>
    <rPh sb="35" eb="36">
      <t>チョウ</t>
    </rPh>
    <rPh sb="47" eb="49">
      <t>イカ</t>
    </rPh>
    <rPh sb="71" eb="72">
      <t>カエ</t>
    </rPh>
    <rPh sb="74" eb="76">
      <t>クウハク</t>
    </rPh>
    <rPh sb="80" eb="82">
      <t>ジョウケン</t>
    </rPh>
    <rPh sb="84" eb="85">
      <t>ア</t>
    </rPh>
    <rPh sb="93" eb="95">
      <t>クウハク</t>
    </rPh>
    <rPh sb="96" eb="97">
      <t>カエ</t>
    </rPh>
    <phoneticPr fontId="37"/>
  </si>
  <si>
    <t>生年月日H59が0なら空白を返す。空白でないときで、1,250,000超かつ1,300,000以下かつ合計所得900万円超950万円以下なら40,000を返す。空白でなく、条件にも当てはまらないなら空白を返す。</t>
    <rPh sb="11" eb="13">
      <t>クウハク</t>
    </rPh>
    <rPh sb="14" eb="15">
      <t>カエ</t>
    </rPh>
    <rPh sb="17" eb="19">
      <t>クウハク</t>
    </rPh>
    <rPh sb="35" eb="36">
      <t>チョウ</t>
    </rPh>
    <rPh sb="47" eb="49">
      <t>イカ</t>
    </rPh>
    <rPh sb="66" eb="68">
      <t>イカ</t>
    </rPh>
    <rPh sb="77" eb="78">
      <t>カエ</t>
    </rPh>
    <rPh sb="80" eb="82">
      <t>クウハク</t>
    </rPh>
    <rPh sb="86" eb="88">
      <t>ジョウケン</t>
    </rPh>
    <rPh sb="90" eb="91">
      <t>ア</t>
    </rPh>
    <rPh sb="99" eb="101">
      <t>クウハク</t>
    </rPh>
    <rPh sb="102" eb="103">
      <t>カエ</t>
    </rPh>
    <phoneticPr fontId="37"/>
  </si>
  <si>
    <t>生年月日H59が0なら空白を返す。空白でないときで、1,250,000超かつ1,300,000以下かつ合計所得950万円超1000万円以下なら20,000を返す。空白でなく、条件にも当てはまらないなら空白を返す。</t>
    <rPh sb="11" eb="13">
      <t>クウハク</t>
    </rPh>
    <rPh sb="14" eb="15">
      <t>カエ</t>
    </rPh>
    <rPh sb="17" eb="19">
      <t>クウハク</t>
    </rPh>
    <rPh sb="35" eb="36">
      <t>チョウ</t>
    </rPh>
    <rPh sb="47" eb="49">
      <t>イカ</t>
    </rPh>
    <rPh sb="67" eb="69">
      <t>イカ</t>
    </rPh>
    <rPh sb="78" eb="79">
      <t>カエ</t>
    </rPh>
    <rPh sb="81" eb="83">
      <t>クウハク</t>
    </rPh>
    <rPh sb="87" eb="89">
      <t>ジョウケン</t>
    </rPh>
    <rPh sb="91" eb="92">
      <t>ア</t>
    </rPh>
    <rPh sb="100" eb="102">
      <t>クウハク</t>
    </rPh>
    <rPh sb="103" eb="104">
      <t>カエ</t>
    </rPh>
    <phoneticPr fontId="37"/>
  </si>
  <si>
    <t>生年月日H59が0なら空白を返す。空白でないときで、1,300,000超かつ1,330,000以下かつ合計所得900万円以下なら30,000を返す。空白でなく、条件にも当てはまらないなら空白を返す。</t>
    <rPh sb="0" eb="2">
      <t>セイネン</t>
    </rPh>
    <rPh sb="2" eb="4">
      <t>ガッピ</t>
    </rPh>
    <rPh sb="11" eb="13">
      <t>クウハク</t>
    </rPh>
    <rPh sb="14" eb="15">
      <t>カエ</t>
    </rPh>
    <rPh sb="17" eb="19">
      <t>クウハク</t>
    </rPh>
    <rPh sb="35" eb="36">
      <t>チョウ</t>
    </rPh>
    <rPh sb="47" eb="49">
      <t>イカ</t>
    </rPh>
    <rPh sb="71" eb="72">
      <t>カエ</t>
    </rPh>
    <rPh sb="74" eb="76">
      <t>クウハク</t>
    </rPh>
    <rPh sb="80" eb="82">
      <t>ジョウケン</t>
    </rPh>
    <rPh sb="84" eb="85">
      <t>ア</t>
    </rPh>
    <rPh sb="93" eb="95">
      <t>クウハク</t>
    </rPh>
    <rPh sb="96" eb="97">
      <t>カエ</t>
    </rPh>
    <phoneticPr fontId="37"/>
  </si>
  <si>
    <t>生年月日H59が0なら空白を返す。空白でないときで、1,300,000超かつ1,330,000以下かつ合計所得900万円超950万円以下なら20,000を返す。空白でなく、条件にも当てはまらないなら空白を返す。</t>
    <rPh sb="11" eb="13">
      <t>クウハク</t>
    </rPh>
    <rPh sb="14" eb="15">
      <t>カエ</t>
    </rPh>
    <rPh sb="17" eb="19">
      <t>クウハク</t>
    </rPh>
    <rPh sb="35" eb="36">
      <t>チョウ</t>
    </rPh>
    <rPh sb="47" eb="49">
      <t>イカ</t>
    </rPh>
    <rPh sb="66" eb="68">
      <t>イカ</t>
    </rPh>
    <rPh sb="77" eb="78">
      <t>カエ</t>
    </rPh>
    <rPh sb="80" eb="82">
      <t>クウハク</t>
    </rPh>
    <rPh sb="86" eb="88">
      <t>ジョウケン</t>
    </rPh>
    <rPh sb="90" eb="91">
      <t>ア</t>
    </rPh>
    <rPh sb="99" eb="101">
      <t>クウハク</t>
    </rPh>
    <rPh sb="102" eb="103">
      <t>カエ</t>
    </rPh>
    <phoneticPr fontId="37"/>
  </si>
  <si>
    <t>生年月日H59が0なら空白を返す。空白でないときで、1,300,000超かつ1,330,000以下かつ合計所得950万円超1000万円以下なら10,000を返す。空白でなく、条件にも当てはまらないなら空白を返す。</t>
    <rPh sb="11" eb="13">
      <t>クウハク</t>
    </rPh>
    <rPh sb="14" eb="15">
      <t>カエ</t>
    </rPh>
    <rPh sb="17" eb="19">
      <t>クウハク</t>
    </rPh>
    <rPh sb="35" eb="36">
      <t>チョウ</t>
    </rPh>
    <rPh sb="47" eb="49">
      <t>イカ</t>
    </rPh>
    <rPh sb="67" eb="69">
      <t>イカ</t>
    </rPh>
    <rPh sb="78" eb="79">
      <t>カエ</t>
    </rPh>
    <rPh sb="81" eb="83">
      <t>クウハク</t>
    </rPh>
    <rPh sb="87" eb="89">
      <t>ジョウケン</t>
    </rPh>
    <rPh sb="91" eb="92">
      <t>ア</t>
    </rPh>
    <rPh sb="100" eb="102">
      <t>クウハク</t>
    </rPh>
    <rPh sb="103" eb="104">
      <t>カエ</t>
    </rPh>
    <phoneticPr fontId="37"/>
  </si>
  <si>
    <t>１３ 寄附金税額控除に関する事項</t>
    <phoneticPr fontId="37"/>
  </si>
  <si>
    <t>６ 給与（日給）等所得者の収入状況</t>
    <phoneticPr fontId="37"/>
  </si>
  <si>
    <t>７ 事業所得（営業・農業所得）</t>
    <phoneticPr fontId="37"/>
  </si>
  <si>
    <t>７ 不動産所得</t>
    <phoneticPr fontId="37"/>
  </si>
  <si>
    <t>８ 事業税に関する事項</t>
    <phoneticPr fontId="37"/>
  </si>
  <si>
    <t>１０ 雑所得（公的年金等以外）に関する事項</t>
    <phoneticPr fontId="37"/>
  </si>
  <si>
    <t>１４ 別居の扶養親族に関する事項</t>
    <phoneticPr fontId="37"/>
  </si>
  <si>
    <t>９ 配当に関する事項</t>
    <phoneticPr fontId="2" type="noConversion"/>
  </si>
  <si>
    <t>５ 前年中に収入がなかった人は、下の欄へ記入してください。</t>
    <phoneticPr fontId="37"/>
  </si>
  <si>
    <t>改訂日</t>
    <rPh sb="0" eb="2">
      <t>カイテイ</t>
    </rPh>
    <rPh sb="2" eb="3">
      <t>ビ</t>
    </rPh>
    <phoneticPr fontId="37"/>
  </si>
  <si>
    <t>公開日</t>
    <rPh sb="0" eb="3">
      <t>コウカイビ</t>
    </rPh>
    <phoneticPr fontId="37"/>
  </si>
  <si>
    <t>version</t>
    <phoneticPr fontId="37"/>
  </si>
  <si>
    <t>備考</t>
    <rPh sb="0" eb="2">
      <t>ビコウ</t>
    </rPh>
    <phoneticPr fontId="37"/>
  </si>
  <si>
    <t>改訂理由</t>
    <rPh sb="0" eb="2">
      <t>カイテイ</t>
    </rPh>
    <rPh sb="2" eb="4">
      <t>リユウ</t>
    </rPh>
    <phoneticPr fontId="37"/>
  </si>
  <si>
    <t>-</t>
    <phoneticPr fontId="37"/>
  </si>
  <si>
    <t>AM20、AM32の公的年金等の表示を両端揃えから中央揃えとし、公的年金等の文字を全部表示できるように修正。</t>
    <rPh sb="10" eb="12">
      <t>コウテキ</t>
    </rPh>
    <rPh sb="12" eb="14">
      <t>ネンキン</t>
    </rPh>
    <rPh sb="14" eb="15">
      <t>トウ</t>
    </rPh>
    <rPh sb="16" eb="18">
      <t>ヒョウジ</t>
    </rPh>
    <rPh sb="19" eb="21">
      <t>リョウタン</t>
    </rPh>
    <rPh sb="21" eb="22">
      <t>ゾロ</t>
    </rPh>
    <rPh sb="25" eb="27">
      <t>チュウオウ</t>
    </rPh>
    <rPh sb="27" eb="28">
      <t>ゾロ</t>
    </rPh>
    <rPh sb="32" eb="34">
      <t>コウテキ</t>
    </rPh>
    <rPh sb="34" eb="36">
      <t>ネンキン</t>
    </rPh>
    <rPh sb="36" eb="37">
      <t>トウ</t>
    </rPh>
    <rPh sb="38" eb="40">
      <t>モジ</t>
    </rPh>
    <rPh sb="41" eb="43">
      <t>ゼンブ</t>
    </rPh>
    <rPh sb="43" eb="45">
      <t>ヒョウジ</t>
    </rPh>
    <rPh sb="51" eb="53">
      <t>シュウセイ</t>
    </rPh>
    <phoneticPr fontId="37"/>
  </si>
  <si>
    <t>提出された申告書より、折り返されて表示されていたため</t>
    <rPh sb="0" eb="2">
      <t>テイシュツ</t>
    </rPh>
    <rPh sb="5" eb="8">
      <t>シンコクショ</t>
    </rPh>
    <rPh sb="11" eb="12">
      <t>オ</t>
    </rPh>
    <rPh sb="13" eb="14">
      <t>カエ</t>
    </rPh>
    <rPh sb="17" eb="19">
      <t>ヒョウジ</t>
    </rPh>
    <phoneticPr fontId="37"/>
  </si>
  <si>
    <t>-</t>
    <phoneticPr fontId="37"/>
  </si>
  <si>
    <t>AK42の寡婦ひとり親控除を両端揃えから中央揃えとし、寡婦ひとり親控除を全部表示できるように修正。</t>
    <phoneticPr fontId="37"/>
  </si>
  <si>
    <t>AK49の「⑬から㉔までの計」の表示を両端揃えから中央揃えにとし、⑬から㉔までの計を全部表示できるように修正。</t>
    <phoneticPr fontId="37"/>
  </si>
  <si>
    <t>C61の裏面「１３」を裏面「１４」に修正。</t>
    <phoneticPr fontId="37"/>
  </si>
  <si>
    <t>確認中に誤りが判明したため</t>
    <rPh sb="0" eb="3">
      <t>カクニンチュウ</t>
    </rPh>
    <rPh sb="4" eb="5">
      <t>アヤマ</t>
    </rPh>
    <rPh sb="7" eb="9">
      <t>ハンメイ</t>
    </rPh>
    <phoneticPr fontId="37"/>
  </si>
  <si>
    <t>ver.1.0</t>
    <phoneticPr fontId="37"/>
  </si>
  <si>
    <t>ver.1.1</t>
    <phoneticPr fontId="37"/>
  </si>
  <si>
    <r>
      <t>↑あなたの合計所得金額が1000万円超で左記の配偶者を同一生計配偶者とする場合、□を</t>
    </r>
    <r>
      <rPr>
        <sz val="11"/>
        <rFont val="ＭＳ 明朝"/>
        <family val="1"/>
        <charset val="128"/>
      </rPr>
      <t>■</t>
    </r>
    <r>
      <rPr>
        <sz val="11"/>
        <rFont val="Meiryo UI"/>
        <family val="3"/>
        <charset val="128"/>
      </rPr>
      <t>としてください。</t>
    </r>
    <rPh sb="20" eb="21">
      <t>ヒダリ</t>
    </rPh>
    <phoneticPr fontId="37"/>
  </si>
  <si>
    <t>配偶者・扶養のJ6”同一生計配偶者としする場合"→”同一生計配偶者とする場合”</t>
    <phoneticPr fontId="37"/>
  </si>
  <si>
    <t>はじめにのC4 居住地する→居住するに修正</t>
    <rPh sb="8" eb="11">
      <t>キョジュウチ</t>
    </rPh>
    <rPh sb="14" eb="16">
      <t>キョジュウ</t>
    </rPh>
    <rPh sb="19" eb="21">
      <t>シュウセイ</t>
    </rPh>
    <phoneticPr fontId="37"/>
  </si>
  <si>
    <t>提出された申告書より、誤りが判明したため</t>
    <rPh sb="0" eb="2">
      <t>テイシュツ</t>
    </rPh>
    <rPh sb="5" eb="8">
      <t>シンコクショ</t>
    </rPh>
    <rPh sb="11" eb="12">
      <t>アヤマ</t>
    </rPh>
    <rPh sb="14" eb="16">
      <t>ハンメイ</t>
    </rPh>
    <phoneticPr fontId="37"/>
  </si>
  <si>
    <t>計算用資料D122 所得の5%の小数点以下の処理に関する計算式の誤りを訂正。J122*5/100→ROUNDDOWN(J122*5/100,0)</t>
    <rPh sb="0" eb="3">
      <t>ケイサンヨウ</t>
    </rPh>
    <rPh sb="3" eb="5">
      <t>シリョウ</t>
    </rPh>
    <rPh sb="10" eb="12">
      <t>ショトク</t>
    </rPh>
    <rPh sb="16" eb="19">
      <t>ショウスウテン</t>
    </rPh>
    <rPh sb="19" eb="21">
      <t>イカ</t>
    </rPh>
    <rPh sb="22" eb="24">
      <t>ショリ</t>
    </rPh>
    <rPh sb="25" eb="26">
      <t>カン</t>
    </rPh>
    <rPh sb="28" eb="31">
      <t>ケイサンシキ</t>
    </rPh>
    <rPh sb="32" eb="33">
      <t>アヤマ</t>
    </rPh>
    <rPh sb="35" eb="37">
      <t>テイセイ</t>
    </rPh>
    <phoneticPr fontId="37"/>
  </si>
  <si>
    <t>ver.1.2</t>
    <phoneticPr fontId="37"/>
  </si>
  <si>
    <t>配偶者所得金額の表示</t>
    <rPh sb="0" eb="3">
      <t>ハイグウシャ</t>
    </rPh>
    <rPh sb="3" eb="5">
      <t>ショトク</t>
    </rPh>
    <rPh sb="5" eb="7">
      <t>キンガク</t>
    </rPh>
    <rPh sb="8" eb="10">
      <t>ヒョウジ</t>
    </rPh>
    <phoneticPr fontId="37"/>
  </si>
  <si>
    <t>空欄と０を分けるための処理</t>
    <rPh sb="0" eb="2">
      <t>クウラン</t>
    </rPh>
    <rPh sb="5" eb="6">
      <t>ワ</t>
    </rPh>
    <rPh sb="11" eb="13">
      <t>ショリ</t>
    </rPh>
    <phoneticPr fontId="37"/>
  </si>
  <si>
    <t>使用者の問い合わせより（2件）</t>
    <rPh sb="0" eb="2">
      <t>シヨウ</t>
    </rPh>
    <rPh sb="2" eb="3">
      <t>シャ</t>
    </rPh>
    <rPh sb="4" eb="5">
      <t>ト</t>
    </rPh>
    <rPh sb="6" eb="7">
      <t>ア</t>
    </rPh>
    <rPh sb="13" eb="14">
      <t>ケン</t>
    </rPh>
    <phoneticPr fontId="37"/>
  </si>
  <si>
    <t>市県民税申告書　配偶者の所得欄について、０と空欄を区別するように変更。ゼロを0と表示させ、空欄を空欄とする。</t>
    <rPh sb="0" eb="4">
      <t>シケンミンゼイ</t>
    </rPh>
    <rPh sb="4" eb="7">
      <t>シンコクショ</t>
    </rPh>
    <rPh sb="8" eb="11">
      <t>ハイグウシャ</t>
    </rPh>
    <rPh sb="12" eb="14">
      <t>ショトク</t>
    </rPh>
    <rPh sb="14" eb="15">
      <t>ラン</t>
    </rPh>
    <rPh sb="22" eb="24">
      <t>クウラン</t>
    </rPh>
    <rPh sb="25" eb="27">
      <t>クベツ</t>
    </rPh>
    <rPh sb="32" eb="34">
      <t>ヘンコウ</t>
    </rPh>
    <rPh sb="40" eb="42">
      <t>ヒョウジ</t>
    </rPh>
    <rPh sb="45" eb="47">
      <t>クウラン</t>
    </rPh>
    <rPh sb="48" eb="50">
      <t>クウラン</t>
    </rPh>
    <phoneticPr fontId="37"/>
  </si>
  <si>
    <t>総合譲渡短期・長期・一時所得の収入欄の記載事項の誤り（収入金額を表示させていた）。参照先を各所得に変更。</t>
    <rPh sb="0" eb="2">
      <t>ソウゴウ</t>
    </rPh>
    <rPh sb="2" eb="4">
      <t>ジョウト</t>
    </rPh>
    <rPh sb="4" eb="6">
      <t>タンキ</t>
    </rPh>
    <rPh sb="7" eb="9">
      <t>チョウキ</t>
    </rPh>
    <rPh sb="10" eb="12">
      <t>イチジ</t>
    </rPh>
    <rPh sb="12" eb="14">
      <t>ショトク</t>
    </rPh>
    <rPh sb="15" eb="17">
      <t>シュウニュウ</t>
    </rPh>
    <rPh sb="17" eb="18">
      <t>ラン</t>
    </rPh>
    <rPh sb="19" eb="21">
      <t>キサイ</t>
    </rPh>
    <rPh sb="21" eb="23">
      <t>ジコウ</t>
    </rPh>
    <rPh sb="24" eb="25">
      <t>アヤマ</t>
    </rPh>
    <rPh sb="27" eb="29">
      <t>シュウニュウ</t>
    </rPh>
    <rPh sb="29" eb="31">
      <t>キンガク</t>
    </rPh>
    <rPh sb="32" eb="34">
      <t>ヒョウジ</t>
    </rPh>
    <rPh sb="41" eb="43">
      <t>サンショウ</t>
    </rPh>
    <rPh sb="43" eb="44">
      <t>サキ</t>
    </rPh>
    <rPh sb="45" eb="46">
      <t>カク</t>
    </rPh>
    <rPh sb="46" eb="48">
      <t>ショトク</t>
    </rPh>
    <rPh sb="49" eb="51">
      <t>ヘンコウ</t>
    </rPh>
    <phoneticPr fontId="37"/>
  </si>
  <si>
    <t>社会保険料控除の説明に「親族が受け取る年金から天引きされている分は対象ではありません。」を追加。</t>
    <rPh sb="0" eb="2">
      <t>シャカイ</t>
    </rPh>
    <rPh sb="2" eb="5">
      <t>ホケンリョウ</t>
    </rPh>
    <rPh sb="5" eb="7">
      <t>コウジョ</t>
    </rPh>
    <rPh sb="8" eb="10">
      <t>セツメイ</t>
    </rPh>
    <rPh sb="45" eb="47">
      <t>ツイカ</t>
    </rPh>
    <phoneticPr fontId="37"/>
  </si>
  <si>
    <t>問い合わせ中の質問より</t>
    <rPh sb="0" eb="1">
      <t>ト</t>
    </rPh>
    <rPh sb="2" eb="3">
      <t>ア</t>
    </rPh>
    <rPh sb="5" eb="6">
      <t>チュウ</t>
    </rPh>
    <rPh sb="7" eb="9">
      <t>シツモン</t>
    </rPh>
    <phoneticPr fontId="37"/>
  </si>
  <si>
    <t>公的年金収入の支払金額が分からない人の記載を「源泉徴収票がない、もしくは入力する～」→「源泉徴収票がないなど、入力する～」</t>
    <rPh sb="0" eb="2">
      <t>コウテキ</t>
    </rPh>
    <rPh sb="2" eb="4">
      <t>ネンキン</t>
    </rPh>
    <rPh sb="4" eb="6">
      <t>シュウニュウ</t>
    </rPh>
    <rPh sb="7" eb="9">
      <t>シハライ</t>
    </rPh>
    <rPh sb="9" eb="11">
      <t>キンガク</t>
    </rPh>
    <rPh sb="12" eb="13">
      <t>ワ</t>
    </rPh>
    <rPh sb="17" eb="18">
      <t>ヒト</t>
    </rPh>
    <rPh sb="19" eb="21">
      <t>キサイ</t>
    </rPh>
    <rPh sb="23" eb="25">
      <t>ゲンセン</t>
    </rPh>
    <rPh sb="25" eb="28">
      <t>チョウシュウヒョウ</t>
    </rPh>
    <rPh sb="36" eb="38">
      <t>ニュウリョク</t>
    </rPh>
    <rPh sb="44" eb="46">
      <t>ゲンセン</t>
    </rPh>
    <phoneticPr fontId="37"/>
  </si>
  <si>
    <t>正しい金額が記載されて■にした人がいたため</t>
    <rPh sb="0" eb="1">
      <t>タダ</t>
    </rPh>
    <rPh sb="3" eb="5">
      <t>キンガク</t>
    </rPh>
    <rPh sb="6" eb="8">
      <t>キサイ</t>
    </rPh>
    <rPh sb="15" eb="16">
      <t>ヒト</t>
    </rPh>
    <phoneticPr fontId="37"/>
  </si>
  <si>
    <t>所得金額合計⑩の「市で計算します」を折り返し表示から縮小して表示に修正</t>
    <rPh sb="0" eb="2">
      <t>ショトク</t>
    </rPh>
    <rPh sb="2" eb="4">
      <t>キンガク</t>
    </rPh>
    <rPh sb="4" eb="6">
      <t>ゴウケイ</t>
    </rPh>
    <rPh sb="9" eb="10">
      <t>シ</t>
    </rPh>
    <rPh sb="11" eb="13">
      <t>ケイサン</t>
    </rPh>
    <rPh sb="18" eb="19">
      <t>オ</t>
    </rPh>
    <rPh sb="20" eb="21">
      <t>カエ</t>
    </rPh>
    <rPh sb="22" eb="24">
      <t>ヒョウジ</t>
    </rPh>
    <rPh sb="26" eb="28">
      <t>シュクショウ</t>
    </rPh>
    <rPh sb="30" eb="32">
      <t>ヒョウジ</t>
    </rPh>
    <rPh sb="33" eb="35">
      <t>シュウセイ</t>
    </rPh>
    <phoneticPr fontId="37"/>
  </si>
  <si>
    <t>ver.1.3</t>
    <phoneticPr fontId="37"/>
  </si>
  <si>
    <t>現在の住所</t>
    <phoneticPr fontId="2" type="noConversion"/>
  </si>
  <si>
    <t>市県民税申告書の多数箇所（省略）</t>
    <rPh sb="0" eb="4">
      <t>シケンミンゼイ</t>
    </rPh>
    <rPh sb="4" eb="7">
      <t>シンコクショ</t>
    </rPh>
    <rPh sb="8" eb="10">
      <t>タスウ</t>
    </rPh>
    <rPh sb="10" eb="12">
      <t>カショ</t>
    </rPh>
    <rPh sb="13" eb="15">
      <t>ショウリャク</t>
    </rPh>
    <phoneticPr fontId="37"/>
  </si>
  <si>
    <t>支払調書等の収入金額が分かる書類があれば写しを提出してください。所有していない場合は不要です。</t>
    <rPh sb="0" eb="2">
      <t>シハライ</t>
    </rPh>
    <rPh sb="2" eb="4">
      <t>チョウショ</t>
    </rPh>
    <rPh sb="4" eb="5">
      <t>トウ</t>
    </rPh>
    <rPh sb="6" eb="8">
      <t>シュウニュウ</t>
    </rPh>
    <rPh sb="8" eb="10">
      <t>キンガク</t>
    </rPh>
    <rPh sb="11" eb="12">
      <t>ワ</t>
    </rPh>
    <rPh sb="14" eb="16">
      <t>ショルイ</t>
    </rPh>
    <rPh sb="20" eb="21">
      <t>ウツ</t>
    </rPh>
    <rPh sb="23" eb="25">
      <t>テイシュツ</t>
    </rPh>
    <rPh sb="32" eb="34">
      <t>ショユウ</t>
    </rPh>
    <rPh sb="39" eb="41">
      <t>バアイ</t>
    </rPh>
    <rPh sb="42" eb="44">
      <t>フヨウ</t>
    </rPh>
    <phoneticPr fontId="37"/>
  </si>
  <si>
    <t>添付書類の案内文言の修正。生保・地保に「年末調整で勤務先に提出している場合は不要です」を追加。</t>
    <rPh sb="0" eb="2">
      <t>テンプ</t>
    </rPh>
    <rPh sb="2" eb="4">
      <t>ショルイ</t>
    </rPh>
    <rPh sb="5" eb="7">
      <t>アンナイ</t>
    </rPh>
    <rPh sb="7" eb="9">
      <t>モンゴン</t>
    </rPh>
    <rPh sb="10" eb="12">
      <t>シュウセイ</t>
    </rPh>
    <rPh sb="13" eb="15">
      <t>セイホ</t>
    </rPh>
    <rPh sb="16" eb="17">
      <t>ジ</t>
    </rPh>
    <rPh sb="17" eb="18">
      <t>ホ</t>
    </rPh>
    <rPh sb="20" eb="22">
      <t>ネンマツ</t>
    </rPh>
    <rPh sb="22" eb="24">
      <t>チョウセイ</t>
    </rPh>
    <rPh sb="25" eb="28">
      <t>キンムサキ</t>
    </rPh>
    <rPh sb="29" eb="31">
      <t>テイシュツ</t>
    </rPh>
    <rPh sb="35" eb="37">
      <t>バアイ</t>
    </rPh>
    <rPh sb="38" eb="40">
      <t>フヨウ</t>
    </rPh>
    <rPh sb="44" eb="46">
      <t>ツイカ</t>
    </rPh>
    <phoneticPr fontId="37"/>
  </si>
  <si>
    <t>個人番号</t>
    <phoneticPr fontId="37"/>
  </si>
  <si>
    <t>代理人　氏名</t>
    <phoneticPr fontId="2" type="noConversion"/>
  </si>
  <si>
    <t>続柄</t>
    <rPh sb="0" eb="1">
      <t>ツヅ</t>
    </rPh>
    <rPh sb="1" eb="2">
      <t>ガラ</t>
    </rPh>
    <phoneticPr fontId="37"/>
  </si>
  <si>
    <t>個人番号欄の個所を拡大、台帳番号を削除して資料番号の欄を拡大。</t>
    <rPh sb="0" eb="2">
      <t>コジン</t>
    </rPh>
    <rPh sb="2" eb="4">
      <t>バンゴウ</t>
    </rPh>
    <rPh sb="4" eb="5">
      <t>ラン</t>
    </rPh>
    <rPh sb="6" eb="8">
      <t>カショ</t>
    </rPh>
    <rPh sb="9" eb="11">
      <t>カクダイ</t>
    </rPh>
    <rPh sb="12" eb="14">
      <t>ダイチョウ</t>
    </rPh>
    <rPh sb="14" eb="16">
      <t>バンゴウ</t>
    </rPh>
    <rPh sb="17" eb="19">
      <t>サクジョ</t>
    </rPh>
    <rPh sb="21" eb="23">
      <t>シリョウ</t>
    </rPh>
    <rPh sb="23" eb="25">
      <t>バンゴウ</t>
    </rPh>
    <rPh sb="26" eb="27">
      <t>ラン</t>
    </rPh>
    <rPh sb="28" eb="30">
      <t>カクダイ</t>
    </rPh>
    <phoneticPr fontId="37"/>
  </si>
  <si>
    <t>:</t>
    <phoneticPr fontId="37"/>
  </si>
  <si>
    <t>提出時の意見（個人番号の記載欄）、これを踏まえて狭い欄を拡大</t>
    <rPh sb="0" eb="2">
      <t>テイシュツ</t>
    </rPh>
    <rPh sb="2" eb="3">
      <t>ジ</t>
    </rPh>
    <rPh sb="4" eb="6">
      <t>イケン</t>
    </rPh>
    <rPh sb="7" eb="9">
      <t>コジン</t>
    </rPh>
    <rPh sb="9" eb="11">
      <t>バンゴウ</t>
    </rPh>
    <rPh sb="12" eb="14">
      <t>キサイ</t>
    </rPh>
    <rPh sb="14" eb="15">
      <t>ラン</t>
    </rPh>
    <rPh sb="20" eb="21">
      <t>フ</t>
    </rPh>
    <rPh sb="24" eb="25">
      <t>セマ</t>
    </rPh>
    <rPh sb="26" eb="27">
      <t>ラン</t>
    </rPh>
    <rPh sb="28" eb="30">
      <t>カクダイ</t>
    </rPh>
    <phoneticPr fontId="37"/>
  </si>
  <si>
    <t>提出された申告書より、給与源泉の人も申告する場合があるため</t>
    <rPh sb="0" eb="2">
      <t>テイシュツ</t>
    </rPh>
    <rPh sb="5" eb="8">
      <t>シンコクショ</t>
    </rPh>
    <rPh sb="11" eb="13">
      <t>キュウヨ</t>
    </rPh>
    <rPh sb="13" eb="15">
      <t>ゲンセン</t>
    </rPh>
    <rPh sb="16" eb="17">
      <t>ヒト</t>
    </rPh>
    <rPh sb="18" eb="20">
      <t>シンコク</t>
    </rPh>
    <rPh sb="22" eb="24">
      <t>バアイ</t>
    </rPh>
    <phoneticPr fontId="37"/>
  </si>
  <si>
    <t>ver.1.4</t>
    <phoneticPr fontId="37"/>
  </si>
  <si>
    <t>印および署名の文言削除</t>
    <rPh sb="0" eb="1">
      <t>イン</t>
    </rPh>
    <rPh sb="4" eb="6">
      <t>ショメイ</t>
    </rPh>
    <rPh sb="7" eb="9">
      <t>モンゴン</t>
    </rPh>
    <rPh sb="9" eb="11">
      <t>サクジョ</t>
    </rPh>
    <phoneticPr fontId="37"/>
  </si>
  <si>
    <t>押印をなくすため</t>
    <rPh sb="0" eb="2">
      <t>オウイン</t>
    </rPh>
    <phoneticPr fontId="37"/>
  </si>
  <si>
    <t>印刷後、署名・個人番号(マイナンバー)を記載し、必要書類を添付して桐生市役所税務課市民税担当まで提出してください。</t>
    <rPh sb="0" eb="2">
      <t>インサツ</t>
    </rPh>
    <rPh sb="2" eb="3">
      <t>ゴ</t>
    </rPh>
    <rPh sb="4" eb="6">
      <t>ショメイ</t>
    </rPh>
    <rPh sb="7" eb="9">
      <t>コジン</t>
    </rPh>
    <rPh sb="9" eb="11">
      <t>バンゴウ</t>
    </rPh>
    <rPh sb="20" eb="22">
      <t>キサイ</t>
    </rPh>
    <rPh sb="24" eb="26">
      <t>ヒツヨウ</t>
    </rPh>
    <rPh sb="26" eb="28">
      <t>ショルイ</t>
    </rPh>
    <rPh sb="29" eb="31">
      <t>テンプ</t>
    </rPh>
    <rPh sb="33" eb="36">
      <t>キリュウシ</t>
    </rPh>
    <rPh sb="36" eb="38">
      <t>ヤクショ</t>
    </rPh>
    <rPh sb="38" eb="41">
      <t>ゼイムカ</t>
    </rPh>
    <rPh sb="41" eb="44">
      <t>シミンゼイ</t>
    </rPh>
    <rPh sb="44" eb="46">
      <t>タントウ</t>
    </rPh>
    <rPh sb="48" eb="50">
      <t>テイシュツ</t>
    </rPh>
    <phoneticPr fontId="37"/>
  </si>
  <si>
    <t>この申告書作成支援ツールを用いて市民税・県民税申告書を作成できます。申告書を作成後に印刷・署名し、必要書類を添付して郵送等にて提出してください。</t>
    <rPh sb="2" eb="5">
      <t>シンコクショ</t>
    </rPh>
    <rPh sb="5" eb="7">
      <t>サクセイ</t>
    </rPh>
    <rPh sb="7" eb="9">
      <t>シエン</t>
    </rPh>
    <rPh sb="13" eb="14">
      <t>モチ</t>
    </rPh>
    <rPh sb="16" eb="19">
      <t>シミンゼイ</t>
    </rPh>
    <rPh sb="20" eb="23">
      <t>ケンミンゼイ</t>
    </rPh>
    <rPh sb="23" eb="26">
      <t>シンコクショ</t>
    </rPh>
    <rPh sb="27" eb="29">
      <t>サクセイ</t>
    </rPh>
    <rPh sb="34" eb="37">
      <t>シンコクショ</t>
    </rPh>
    <rPh sb="38" eb="40">
      <t>サクセイ</t>
    </rPh>
    <rPh sb="40" eb="41">
      <t>ゴ</t>
    </rPh>
    <rPh sb="42" eb="44">
      <t>インサツ</t>
    </rPh>
    <rPh sb="45" eb="47">
      <t>ショメイ</t>
    </rPh>
    <rPh sb="49" eb="51">
      <t>ヒツヨウ</t>
    </rPh>
    <rPh sb="51" eb="53">
      <t>ショルイ</t>
    </rPh>
    <rPh sb="54" eb="56">
      <t>テンプ</t>
    </rPh>
    <rPh sb="58" eb="60">
      <t>ユウソウ</t>
    </rPh>
    <rPh sb="60" eb="61">
      <t>トウ</t>
    </rPh>
    <rPh sb="63" eb="65">
      <t>テイシュツ</t>
    </rPh>
    <phoneticPr fontId="37"/>
  </si>
  <si>
    <t>ver.2.0</t>
    <phoneticPr fontId="37"/>
  </si>
  <si>
    <r>
      <t>あなたが勤労学生に該当する場合に適用できます（勤労学生控除を適用する場合に</t>
    </r>
    <r>
      <rPr>
        <sz val="12"/>
        <rFont val="ＭＳ 明朝"/>
        <family val="1"/>
        <charset val="128"/>
      </rPr>
      <t>■</t>
    </r>
    <r>
      <rPr>
        <sz val="12"/>
        <rFont val="Meiryo UI"/>
        <family val="3"/>
        <charset val="128"/>
      </rPr>
      <t>にしてください）</t>
    </r>
    <rPh sb="4" eb="6">
      <t>キンロウ</t>
    </rPh>
    <rPh sb="6" eb="8">
      <t>ガクセイ</t>
    </rPh>
    <rPh sb="9" eb="11">
      <t>ガイトウ</t>
    </rPh>
    <rPh sb="13" eb="15">
      <t>バアイ</t>
    </rPh>
    <rPh sb="16" eb="18">
      <t>テキヨウ</t>
    </rPh>
    <rPh sb="23" eb="25">
      <t>キンロウ</t>
    </rPh>
    <rPh sb="25" eb="27">
      <t>ガクセイ</t>
    </rPh>
    <rPh sb="27" eb="29">
      <t>コウジョ</t>
    </rPh>
    <rPh sb="30" eb="32">
      <t>テキヨウ</t>
    </rPh>
    <phoneticPr fontId="37"/>
  </si>
  <si>
    <t>申告する配当所得が上場株式等の配当等所得で特別徴収された住民税額がある場合は配当割額控除を入力してください。</t>
    <rPh sb="17" eb="18">
      <t>トウ</t>
    </rPh>
    <phoneticPr fontId="37"/>
  </si>
  <si>
    <t>H26が10,000,000以下なら0、10,000,000超20,000,000以下なら100,000、20,000,000超なら200,000を返す。当てはまらないなら空白。</t>
    <rPh sb="14" eb="16">
      <t>イカ</t>
    </rPh>
    <rPh sb="30" eb="31">
      <t>チョウ</t>
    </rPh>
    <rPh sb="41" eb="43">
      <t>イカ</t>
    </rPh>
    <rPh sb="63" eb="64">
      <t>チョウ</t>
    </rPh>
    <rPh sb="74" eb="75">
      <t>カエ</t>
    </rPh>
    <rPh sb="77" eb="78">
      <t>ア</t>
    </rPh>
    <rPh sb="86" eb="88">
      <t>クウハク</t>
    </rPh>
    <phoneticPr fontId="37"/>
  </si>
  <si>
    <t>保険会社等が発行する生命保険料に関する支払証明書を提出してください。年末調整や所得税の確定申告書で提出した場合は不要です。</t>
    <rPh sb="0" eb="2">
      <t>ホケン</t>
    </rPh>
    <rPh sb="2" eb="4">
      <t>ガイシャ</t>
    </rPh>
    <rPh sb="4" eb="5">
      <t>トウ</t>
    </rPh>
    <rPh sb="6" eb="8">
      <t>ハッコウ</t>
    </rPh>
    <rPh sb="10" eb="12">
      <t>セイメイ</t>
    </rPh>
    <rPh sb="12" eb="15">
      <t>ホケンリョウ</t>
    </rPh>
    <rPh sb="16" eb="17">
      <t>カン</t>
    </rPh>
    <rPh sb="19" eb="21">
      <t>シハライ</t>
    </rPh>
    <rPh sb="21" eb="24">
      <t>ショウメイショ</t>
    </rPh>
    <rPh sb="25" eb="27">
      <t>テイシュツ</t>
    </rPh>
    <rPh sb="34" eb="36">
      <t>ネンマツ</t>
    </rPh>
    <rPh sb="36" eb="38">
      <t>チョウセイ</t>
    </rPh>
    <rPh sb="39" eb="42">
      <t>ショトクゼイ</t>
    </rPh>
    <rPh sb="43" eb="45">
      <t>カクテイ</t>
    </rPh>
    <rPh sb="45" eb="47">
      <t>シンコク</t>
    </rPh>
    <rPh sb="47" eb="48">
      <t>ショ</t>
    </rPh>
    <rPh sb="49" eb="51">
      <t>テイシュツ</t>
    </rPh>
    <rPh sb="53" eb="55">
      <t>バアイ</t>
    </rPh>
    <rPh sb="56" eb="58">
      <t>フヨウ</t>
    </rPh>
    <phoneticPr fontId="37"/>
  </si>
  <si>
    <t>保険会社等が発行する地震保険料に関する支払証明書を提出してください。年末調整や所得税の確定申告書で提出した場合は不要です。</t>
    <rPh sb="0" eb="2">
      <t>ホケン</t>
    </rPh>
    <rPh sb="2" eb="4">
      <t>ガイシャ</t>
    </rPh>
    <rPh sb="4" eb="5">
      <t>トウ</t>
    </rPh>
    <rPh sb="6" eb="8">
      <t>ハッコウ</t>
    </rPh>
    <rPh sb="10" eb="12">
      <t>ジシン</t>
    </rPh>
    <rPh sb="12" eb="15">
      <t>ホケンリョウ</t>
    </rPh>
    <rPh sb="16" eb="17">
      <t>カン</t>
    </rPh>
    <rPh sb="19" eb="21">
      <t>シハライ</t>
    </rPh>
    <rPh sb="21" eb="24">
      <t>ショウメイショ</t>
    </rPh>
    <rPh sb="25" eb="27">
      <t>テイシュツ</t>
    </rPh>
    <rPh sb="34" eb="36">
      <t>ネンマツ</t>
    </rPh>
    <rPh sb="36" eb="38">
      <t>チョウセイ</t>
    </rPh>
    <rPh sb="39" eb="42">
      <t>ショトクゼイ</t>
    </rPh>
    <rPh sb="43" eb="45">
      <t>カクテイ</t>
    </rPh>
    <rPh sb="45" eb="47">
      <t>シンコク</t>
    </rPh>
    <rPh sb="47" eb="48">
      <t>ショ</t>
    </rPh>
    <rPh sb="49" eb="51">
      <t>テイシュツ</t>
    </rPh>
    <rPh sb="53" eb="55">
      <t>バアイ</t>
    </rPh>
    <rPh sb="56" eb="58">
      <t>フヨウ</t>
    </rPh>
    <phoneticPr fontId="37"/>
  </si>
  <si>
    <t>寄附金の受領証明書等の写しを提出してください。所得税の確定申告書で提出した場合は不要です。</t>
    <rPh sb="0" eb="3">
      <t>キフキン</t>
    </rPh>
    <rPh sb="4" eb="6">
      <t>ジュリョウ</t>
    </rPh>
    <rPh sb="6" eb="9">
      <t>ショウメイショ</t>
    </rPh>
    <rPh sb="9" eb="10">
      <t>トウ</t>
    </rPh>
    <rPh sb="11" eb="12">
      <t>ウツ</t>
    </rPh>
    <rPh sb="14" eb="16">
      <t>テイシュツ</t>
    </rPh>
    <rPh sb="23" eb="26">
      <t>ショトクゼイ</t>
    </rPh>
    <rPh sb="27" eb="29">
      <t>カクテイ</t>
    </rPh>
    <rPh sb="29" eb="31">
      <t>シンコク</t>
    </rPh>
    <rPh sb="31" eb="32">
      <t>ショ</t>
    </rPh>
    <rPh sb="33" eb="35">
      <t>テイシュツ</t>
    </rPh>
    <rPh sb="37" eb="39">
      <t>バアイ</t>
    </rPh>
    <rPh sb="40" eb="42">
      <t>フヨウ</t>
    </rPh>
    <phoneticPr fontId="37"/>
  </si>
  <si>
    <t>学生証の写しまたは在学証明書を提出してください。</t>
    <rPh sb="0" eb="3">
      <t>ガクセイショウ</t>
    </rPh>
    <rPh sb="4" eb="5">
      <t>ウツ</t>
    </rPh>
    <rPh sb="9" eb="11">
      <t>ザイガク</t>
    </rPh>
    <rPh sb="11" eb="13">
      <t>ショウメイ</t>
    </rPh>
    <rPh sb="13" eb="14">
      <t>ショ</t>
    </rPh>
    <rPh sb="15" eb="17">
      <t>テイシュツ</t>
    </rPh>
    <phoneticPr fontId="37"/>
  </si>
  <si>
    <t>こちらから市・県民税申告書を印刷し、署名後に提出してください。</t>
    <rPh sb="5" eb="13">
      <t>シ</t>
    </rPh>
    <rPh sb="14" eb="16">
      <t>インサツ</t>
    </rPh>
    <rPh sb="18" eb="20">
      <t>ショメイ</t>
    </rPh>
    <rPh sb="20" eb="21">
      <t>ゴ</t>
    </rPh>
    <rPh sb="22" eb="24">
      <t>テイシュツ</t>
    </rPh>
    <phoneticPr fontId="37"/>
  </si>
  <si>
    <t>「調整控除前所得C19が0より大きく、かつ、公的年金所得が0より大きく、かつ、調整控除前所得+公的年金所得の和が100,000以上」なら、「調整控除前所得もしくは100,000のいずれか小さい方」と「公的年金所得もしくは100,000のいずれか小さい方」の和から100,000円を引いた金額を返す。条件に合わなければ0。</t>
    <rPh sb="1" eb="3">
      <t>チョウセイ</t>
    </rPh>
    <rPh sb="3" eb="5">
      <t>コウジョ</t>
    </rPh>
    <rPh sb="5" eb="6">
      <t>マエ</t>
    </rPh>
    <rPh sb="6" eb="8">
      <t>ショトク</t>
    </rPh>
    <rPh sb="15" eb="16">
      <t>オオ</t>
    </rPh>
    <rPh sb="22" eb="24">
      <t>コウテキ</t>
    </rPh>
    <rPh sb="24" eb="26">
      <t>ネンキン</t>
    </rPh>
    <rPh sb="26" eb="28">
      <t>ショトク</t>
    </rPh>
    <rPh sb="32" eb="33">
      <t>オオ</t>
    </rPh>
    <rPh sb="39" eb="41">
      <t>チョウセイ</t>
    </rPh>
    <rPh sb="41" eb="43">
      <t>コウジョ</t>
    </rPh>
    <rPh sb="43" eb="44">
      <t>マエ</t>
    </rPh>
    <rPh sb="44" eb="46">
      <t>ショトク</t>
    </rPh>
    <rPh sb="47" eb="49">
      <t>コウテキ</t>
    </rPh>
    <rPh sb="49" eb="51">
      <t>ネンキン</t>
    </rPh>
    <rPh sb="51" eb="53">
      <t>ショトク</t>
    </rPh>
    <rPh sb="54" eb="55">
      <t>ワ</t>
    </rPh>
    <rPh sb="63" eb="65">
      <t>イジョウ</t>
    </rPh>
    <rPh sb="70" eb="72">
      <t>チョウセイ</t>
    </rPh>
    <rPh sb="72" eb="74">
      <t>コウジョ</t>
    </rPh>
    <rPh sb="74" eb="75">
      <t>マエ</t>
    </rPh>
    <rPh sb="75" eb="77">
      <t>ショトク</t>
    </rPh>
    <rPh sb="93" eb="94">
      <t>チイ</t>
    </rPh>
    <rPh sb="96" eb="97">
      <t>ホウ</t>
    </rPh>
    <rPh sb="100" eb="102">
      <t>コウテキ</t>
    </rPh>
    <rPh sb="102" eb="104">
      <t>ネンキン</t>
    </rPh>
    <rPh sb="104" eb="106">
      <t>ショトク</t>
    </rPh>
    <rPh sb="122" eb="123">
      <t>チイ</t>
    </rPh>
    <rPh sb="125" eb="126">
      <t>ホウ</t>
    </rPh>
    <rPh sb="128" eb="129">
      <t>ワ</t>
    </rPh>
    <rPh sb="138" eb="139">
      <t>エン</t>
    </rPh>
    <rPh sb="140" eb="141">
      <t>ヒ</t>
    </rPh>
    <rPh sb="143" eb="145">
      <t>キンガク</t>
    </rPh>
    <rPh sb="146" eb="147">
      <t>カエ</t>
    </rPh>
    <rPh sb="149" eb="151">
      <t>ジョウケン</t>
    </rPh>
    <rPh sb="152" eb="153">
      <t>ア</t>
    </rPh>
    <phoneticPr fontId="37"/>
  </si>
  <si>
    <t>生年月日H6(数値)が10000000より小さい、または、99999999より大きいならE26、H6がF27以上であればE26、当てはまらなければE27（正しくない生年月日を入力していたらE26の65歳未満を使用するため）</t>
    <rPh sb="0" eb="2">
      <t>セイネン</t>
    </rPh>
    <rPh sb="2" eb="4">
      <t>ガッピ</t>
    </rPh>
    <rPh sb="7" eb="9">
      <t>スウチ</t>
    </rPh>
    <rPh sb="21" eb="22">
      <t>チイ</t>
    </rPh>
    <rPh sb="39" eb="40">
      <t>オオ</t>
    </rPh>
    <rPh sb="54" eb="56">
      <t>イジョウ</t>
    </rPh>
    <rPh sb="64" eb="65">
      <t>ア</t>
    </rPh>
    <rPh sb="77" eb="78">
      <t>タダ</t>
    </rPh>
    <rPh sb="82" eb="84">
      <t>セイネン</t>
    </rPh>
    <rPh sb="84" eb="86">
      <t>ガッピ</t>
    </rPh>
    <rPh sb="87" eb="89">
      <t>ニュウリョク</t>
    </rPh>
    <rPh sb="100" eb="101">
      <t>サイ</t>
    </rPh>
    <rPh sb="101" eb="103">
      <t>ミマン</t>
    </rPh>
    <rPh sb="104" eb="106">
      <t>シヨウ</t>
    </rPh>
    <phoneticPr fontId="37"/>
  </si>
  <si>
    <t>公開時、計算用資料・シート解説・改訂履歴のシートは非表示にし、シート保護を上記パスワードでかけてください。</t>
    <rPh sb="0" eb="2">
      <t>コウカイ</t>
    </rPh>
    <rPh sb="2" eb="3">
      <t>ジ</t>
    </rPh>
    <rPh sb="4" eb="7">
      <t>ケイサンヨウ</t>
    </rPh>
    <rPh sb="7" eb="9">
      <t>シリョウ</t>
    </rPh>
    <rPh sb="13" eb="15">
      <t>カイセツ</t>
    </rPh>
    <rPh sb="16" eb="18">
      <t>カイテイ</t>
    </rPh>
    <rPh sb="18" eb="20">
      <t>リレキ</t>
    </rPh>
    <rPh sb="25" eb="28">
      <t>ヒヒョウジ</t>
    </rPh>
    <rPh sb="34" eb="36">
      <t>ホゴ</t>
    </rPh>
    <rPh sb="37" eb="39">
      <t>ジョウキ</t>
    </rPh>
    <phoneticPr fontId="37"/>
  </si>
  <si>
    <t>公開時、全シートについて上記パスワードで保護をかけてください。</t>
    <rPh sb="0" eb="2">
      <t>コウカイ</t>
    </rPh>
    <rPh sb="2" eb="3">
      <t>ジ</t>
    </rPh>
    <rPh sb="4" eb="5">
      <t>ゼン</t>
    </rPh>
    <rPh sb="12" eb="14">
      <t>ジョウキ</t>
    </rPh>
    <rPh sb="20" eb="22">
      <t>ホゴ</t>
    </rPh>
    <phoneticPr fontId="37"/>
  </si>
  <si>
    <t>マクロは組んでいません。ネット環境からDLしたエクセルファイルのマクロを有効化させることは、避けるべきことという認識です。</t>
    <rPh sb="4" eb="5">
      <t>ク</t>
    </rPh>
    <rPh sb="15" eb="17">
      <t>カンキョウ</t>
    </rPh>
    <rPh sb="36" eb="39">
      <t>ユウコウカ</t>
    </rPh>
    <rPh sb="46" eb="47">
      <t>サ</t>
    </rPh>
    <rPh sb="56" eb="58">
      <t>ニンシキ</t>
    </rPh>
    <phoneticPr fontId="37"/>
  </si>
  <si>
    <t>現住所</t>
    <phoneticPr fontId="37"/>
  </si>
  <si>
    <t>入力しなくても問題なし、どんな文字でも入力可。MS明朝。だたし、入力がない場合は、申告書の上部に注意を表示する。</t>
    <rPh sb="25" eb="27">
      <t>ミンチョウ</t>
    </rPh>
    <rPh sb="32" eb="34">
      <t>ニュウリョク</t>
    </rPh>
    <rPh sb="37" eb="39">
      <t>バアイ</t>
    </rPh>
    <rPh sb="41" eb="44">
      <t>シンコクショ</t>
    </rPh>
    <rPh sb="45" eb="47">
      <t>ジョウブ</t>
    </rPh>
    <rPh sb="48" eb="50">
      <t>チュウイ</t>
    </rPh>
    <rPh sb="51" eb="53">
      <t>ヒョウジ</t>
    </rPh>
    <phoneticPr fontId="37"/>
  </si>
  <si>
    <t>入力しなくても問題なし、どんな文字でも入力可。だたし、入力がない場合は、申告書の上部に注意を表示する。</t>
    <phoneticPr fontId="37"/>
  </si>
  <si>
    <t>正しく入力しないと公的年金の所得が65歳未満基準で計算される。明治50年などの入力はDATEVALUEで正しく換算されるが、西暦を選択して年が3桁未満や元号を選択して99年以上を入力は65歳未満で算出させるように設定。一応、「西暦」+「3桁未満の数字」、「元号」+「4桁以上」の年のとき、G18に注意を表示。西暦を選択しないで4桁以上の数字を入力した場合は、西暦として処理。元号を選択しないで、年だけ入力したときにも元号・西暦を選択してくださいを表示。
また、生年月日の入力が正しくない場合は、申告書シートの上部に注意を表示する。</t>
    <rPh sb="106" eb="108">
      <t>セッテイ</t>
    </rPh>
    <rPh sb="148" eb="150">
      <t>チュウイ</t>
    </rPh>
    <rPh sb="187" eb="189">
      <t>ゲンゴウ</t>
    </rPh>
    <rPh sb="190" eb="192">
      <t>センタク</t>
    </rPh>
    <rPh sb="197" eb="198">
      <t>ネン</t>
    </rPh>
    <rPh sb="200" eb="202">
      <t>ニュウリョク</t>
    </rPh>
    <rPh sb="208" eb="210">
      <t>ゲンゴウ</t>
    </rPh>
    <rPh sb="211" eb="213">
      <t>セイレキ</t>
    </rPh>
    <rPh sb="214" eb="216">
      <t>センタク</t>
    </rPh>
    <rPh sb="223" eb="225">
      <t>ヒョウジ</t>
    </rPh>
    <phoneticPr fontId="37"/>
  </si>
  <si>
    <t>生年月日の入力時、西暦を選択して1000未満の数字を入力すると、「生年月日の入力が不適切です。~。」を表示、和暦を選択して99超の数字を入力すると、「生年月日の入力が不適切です。~。」を表示、西暦・元号を選択していないと、「元号・西暦を選択してください」、これらの条件にいずれも当てはまらない場合は空白とする。</t>
    <phoneticPr fontId="37"/>
  </si>
  <si>
    <t>入力用のシートについてフォントのベースは、見やすさを重視してMeiryo UI、氏名、住所、屋号雅号の入力箇所のみ文字化けしなさそうなMS明朝。</t>
    <rPh sb="0" eb="3">
      <t>ニュウリョクヨウ</t>
    </rPh>
    <rPh sb="21" eb="22">
      <t>ミ</t>
    </rPh>
    <rPh sb="26" eb="28">
      <t>ジュウシ</t>
    </rPh>
    <rPh sb="40" eb="42">
      <t>シメイ</t>
    </rPh>
    <rPh sb="43" eb="45">
      <t>ジュウショ</t>
    </rPh>
    <rPh sb="46" eb="48">
      <t>ヤゴウ</t>
    </rPh>
    <rPh sb="48" eb="50">
      <t>ガゴウ</t>
    </rPh>
    <rPh sb="51" eb="53">
      <t>ニュウリョク</t>
    </rPh>
    <rPh sb="53" eb="55">
      <t>カショ</t>
    </rPh>
    <rPh sb="57" eb="60">
      <t>モジバ</t>
    </rPh>
    <rPh sb="69" eb="71">
      <t>ミンチョウ</t>
    </rPh>
    <phoneticPr fontId="37"/>
  </si>
  <si>
    <t>※何も入力しなくても何も注意は出ません。また、申告書自体にも注意は出ません。</t>
    <rPh sb="23" eb="26">
      <t>シンコクショ</t>
    </rPh>
    <rPh sb="26" eb="28">
      <t>ジタイ</t>
    </rPh>
    <rPh sb="30" eb="32">
      <t>チュウイ</t>
    </rPh>
    <rPh sb="33" eb="34">
      <t>デ</t>
    </rPh>
    <phoneticPr fontId="37"/>
  </si>
  <si>
    <t>営業所得</t>
    <rPh sb="0" eb="2">
      <t>エイギョウ</t>
    </rPh>
    <rPh sb="2" eb="4">
      <t>ショトク</t>
    </rPh>
    <phoneticPr fontId="37"/>
  </si>
  <si>
    <t>農業所得</t>
    <rPh sb="0" eb="2">
      <t>ノウギョウ</t>
    </rPh>
    <rPh sb="2" eb="4">
      <t>ショトク</t>
    </rPh>
    <phoneticPr fontId="37"/>
  </si>
  <si>
    <t>不動産所得</t>
    <rPh sb="0" eb="3">
      <t>フドウサン</t>
    </rPh>
    <rPh sb="3" eb="5">
      <t>ショトク</t>
    </rPh>
    <phoneticPr fontId="37"/>
  </si>
  <si>
    <t>一時所得の注意喚起</t>
    <rPh sb="0" eb="2">
      <t>イチジ</t>
    </rPh>
    <rPh sb="2" eb="4">
      <t>ショトク</t>
    </rPh>
    <rPh sb="5" eb="7">
      <t>チュウイ</t>
    </rPh>
    <rPh sb="7" eb="9">
      <t>カンキ</t>
    </rPh>
    <phoneticPr fontId="37"/>
  </si>
  <si>
    <t>短期譲渡所得の金額が赤字のとき、又は短期譲渡所得&gt;0かつ事業所得と不動産所得のいずれかが赤字のときは、使用しないでくださいの表示</t>
    <rPh sb="0" eb="2">
      <t>タンキ</t>
    </rPh>
    <rPh sb="2" eb="4">
      <t>ジョウト</t>
    </rPh>
    <rPh sb="4" eb="6">
      <t>ショトク</t>
    </rPh>
    <rPh sb="7" eb="9">
      <t>キンガク</t>
    </rPh>
    <rPh sb="10" eb="12">
      <t>アカジ</t>
    </rPh>
    <rPh sb="16" eb="17">
      <t>マタ</t>
    </rPh>
    <rPh sb="18" eb="20">
      <t>タンキ</t>
    </rPh>
    <rPh sb="20" eb="22">
      <t>ジョウト</t>
    </rPh>
    <rPh sb="22" eb="24">
      <t>ショトク</t>
    </rPh>
    <rPh sb="28" eb="30">
      <t>ジギョウ</t>
    </rPh>
    <rPh sb="30" eb="32">
      <t>ショトク</t>
    </rPh>
    <rPh sb="33" eb="36">
      <t>フドウサン</t>
    </rPh>
    <rPh sb="36" eb="38">
      <t>ショトク</t>
    </rPh>
    <rPh sb="44" eb="46">
      <t>アカジ</t>
    </rPh>
    <rPh sb="51" eb="53">
      <t>シヨウ</t>
    </rPh>
    <rPh sb="62" eb="64">
      <t>ヒョウジ</t>
    </rPh>
    <phoneticPr fontId="37"/>
  </si>
  <si>
    <t>長期譲渡所得の金額が赤字のとき、又は長期譲渡所得&gt;0かつ事業所得と不動産所得のいずれかが赤字のときは、使用しないでくださいの表示</t>
    <rPh sb="0" eb="2">
      <t>チョウキ</t>
    </rPh>
    <rPh sb="2" eb="4">
      <t>ジョウト</t>
    </rPh>
    <rPh sb="4" eb="6">
      <t>ショトク</t>
    </rPh>
    <rPh sb="7" eb="9">
      <t>キンガク</t>
    </rPh>
    <rPh sb="10" eb="12">
      <t>アカジ</t>
    </rPh>
    <rPh sb="16" eb="17">
      <t>マタ</t>
    </rPh>
    <rPh sb="18" eb="20">
      <t>チョウキ</t>
    </rPh>
    <rPh sb="20" eb="22">
      <t>ジョウト</t>
    </rPh>
    <rPh sb="22" eb="24">
      <t>ショトク</t>
    </rPh>
    <rPh sb="28" eb="30">
      <t>ジギョウ</t>
    </rPh>
    <rPh sb="30" eb="32">
      <t>ショトク</t>
    </rPh>
    <rPh sb="33" eb="36">
      <t>フドウサン</t>
    </rPh>
    <rPh sb="36" eb="38">
      <t>ショトク</t>
    </rPh>
    <rPh sb="44" eb="46">
      <t>アカジ</t>
    </rPh>
    <rPh sb="51" eb="53">
      <t>シヨウ</t>
    </rPh>
    <rPh sb="62" eb="64">
      <t>ヒョウジ</t>
    </rPh>
    <phoneticPr fontId="37"/>
  </si>
  <si>
    <t>一時所得&gt;0かつ事業所得、不動産所得、総合課税の譲渡所得のいずれかに赤字があるときは、使用しないでくださいの表示</t>
    <rPh sb="0" eb="2">
      <t>イチジ</t>
    </rPh>
    <rPh sb="2" eb="4">
      <t>ショトク</t>
    </rPh>
    <rPh sb="8" eb="10">
      <t>ジギョウ</t>
    </rPh>
    <rPh sb="10" eb="12">
      <t>ショトク</t>
    </rPh>
    <rPh sb="13" eb="16">
      <t>フドウサン</t>
    </rPh>
    <rPh sb="16" eb="18">
      <t>ショトク</t>
    </rPh>
    <rPh sb="19" eb="21">
      <t>ソウゴウ</t>
    </rPh>
    <rPh sb="21" eb="23">
      <t>カゼイ</t>
    </rPh>
    <rPh sb="24" eb="26">
      <t>ジョウト</t>
    </rPh>
    <rPh sb="26" eb="28">
      <t>ショトク</t>
    </rPh>
    <rPh sb="34" eb="36">
      <t>アカジ</t>
    </rPh>
    <rPh sb="43" eb="45">
      <t>シヨウ</t>
    </rPh>
    <rPh sb="54" eb="56">
      <t>ヒョウジ</t>
    </rPh>
    <phoneticPr fontId="37"/>
  </si>
  <si>
    <t>営業シートの営業所得</t>
    <rPh sb="0" eb="2">
      <t>エイギョウ</t>
    </rPh>
    <rPh sb="6" eb="8">
      <t>エイギョウ</t>
    </rPh>
    <rPh sb="8" eb="10">
      <t>ショトク</t>
    </rPh>
    <phoneticPr fontId="37"/>
  </si>
  <si>
    <t>営業シートの農業所得</t>
    <rPh sb="0" eb="2">
      <t>エイギョウ</t>
    </rPh>
    <rPh sb="6" eb="8">
      <t>ノウギョウ</t>
    </rPh>
    <rPh sb="8" eb="10">
      <t>ショトク</t>
    </rPh>
    <phoneticPr fontId="37"/>
  </si>
  <si>
    <t>営業シートの不動産所得</t>
    <rPh sb="0" eb="2">
      <t>エイギョウ</t>
    </rPh>
    <rPh sb="6" eb="9">
      <t>フドウサン</t>
    </rPh>
    <rPh sb="9" eb="11">
      <t>ショトク</t>
    </rPh>
    <phoneticPr fontId="37"/>
  </si>
  <si>
    <t>D121からF121を引いた額から「合計所得金額の5%(小数点以下繰下げ、かつ所得マイナスであれば０)と100,000のいずれか小さい方」を引いた額と2,000,000のいずれか小さい方を返す。この額がマイナスなら0を返す。</t>
    <rPh sb="11" eb="12">
      <t>ヒ</t>
    </rPh>
    <rPh sb="14" eb="15">
      <t>ガク</t>
    </rPh>
    <rPh sb="18" eb="20">
      <t>ゴウケイ</t>
    </rPh>
    <rPh sb="20" eb="22">
      <t>ショトク</t>
    </rPh>
    <rPh sb="22" eb="24">
      <t>キンガク</t>
    </rPh>
    <rPh sb="28" eb="31">
      <t>ショウスウテン</t>
    </rPh>
    <rPh sb="31" eb="33">
      <t>イカ</t>
    </rPh>
    <rPh sb="33" eb="35">
      <t>クリサ</t>
    </rPh>
    <rPh sb="39" eb="41">
      <t>ショトク</t>
    </rPh>
    <rPh sb="64" eb="65">
      <t>チイ</t>
    </rPh>
    <rPh sb="67" eb="68">
      <t>ホウ</t>
    </rPh>
    <rPh sb="70" eb="71">
      <t>ヒ</t>
    </rPh>
    <rPh sb="73" eb="74">
      <t>ガク</t>
    </rPh>
    <rPh sb="89" eb="90">
      <t>チイ</t>
    </rPh>
    <rPh sb="92" eb="93">
      <t>ホウ</t>
    </rPh>
    <rPh sb="94" eb="95">
      <t>カエ</t>
    </rPh>
    <rPh sb="99" eb="100">
      <t>ガク</t>
    </rPh>
    <rPh sb="109" eb="110">
      <t>カエ</t>
    </rPh>
    <phoneticPr fontId="37"/>
  </si>
  <si>
    <t>土地や建物、借地権、株式等の譲渡から生ずる所得は申告分離課税となり、このファイルは対応していません。</t>
    <rPh sb="0" eb="2">
      <t>トチ</t>
    </rPh>
    <rPh sb="3" eb="5">
      <t>タテモノ</t>
    </rPh>
    <rPh sb="6" eb="9">
      <t>シャクチケン</t>
    </rPh>
    <rPh sb="10" eb="12">
      <t>カブシキ</t>
    </rPh>
    <rPh sb="12" eb="13">
      <t>トウ</t>
    </rPh>
    <rPh sb="14" eb="16">
      <t>ジョウト</t>
    </rPh>
    <rPh sb="18" eb="19">
      <t>ショウ</t>
    </rPh>
    <rPh sb="21" eb="23">
      <t>ショトク</t>
    </rPh>
    <rPh sb="24" eb="26">
      <t>シンコク</t>
    </rPh>
    <rPh sb="26" eb="28">
      <t>ブンリ</t>
    </rPh>
    <rPh sb="28" eb="30">
      <t>カゼイ</t>
    </rPh>
    <rPh sb="41" eb="43">
      <t>タイオウ</t>
    </rPh>
    <phoneticPr fontId="37"/>
  </si>
  <si>
    <t>土地や建物、借地権、株式等の譲渡から生ずる所得は申告分離課税となり、このファイルは対応していません。</t>
    <phoneticPr fontId="37"/>
  </si>
  <si>
    <t>臨時・偶発的なもので対価性のない所得（賞金、競馬・競輪などの払戻金、生命保険の一時金や損害保険の満期返戻金）が該当します。</t>
    <rPh sb="0" eb="2">
      <t>リンジ</t>
    </rPh>
    <rPh sb="3" eb="6">
      <t>グウハツテキ</t>
    </rPh>
    <rPh sb="10" eb="12">
      <t>タイカ</t>
    </rPh>
    <rPh sb="12" eb="13">
      <t>セイ</t>
    </rPh>
    <rPh sb="16" eb="18">
      <t>ショトク</t>
    </rPh>
    <rPh sb="19" eb="21">
      <t>ショウキン</t>
    </rPh>
    <rPh sb="22" eb="24">
      <t>ケイバ</t>
    </rPh>
    <rPh sb="25" eb="27">
      <t>ケイリン</t>
    </rPh>
    <rPh sb="30" eb="33">
      <t>ハライモドシキン</t>
    </rPh>
    <rPh sb="34" eb="36">
      <t>セイメイ</t>
    </rPh>
    <rPh sb="36" eb="38">
      <t>ホケン</t>
    </rPh>
    <rPh sb="39" eb="42">
      <t>イチジキン</t>
    </rPh>
    <rPh sb="43" eb="45">
      <t>ソンガイ</t>
    </rPh>
    <rPh sb="45" eb="47">
      <t>ホケン</t>
    </rPh>
    <rPh sb="48" eb="50">
      <t>マンキ</t>
    </rPh>
    <rPh sb="50" eb="53">
      <t>ヘンレイキン</t>
    </rPh>
    <rPh sb="55" eb="57">
      <t>ガイトウ</t>
    </rPh>
    <phoneticPr fontId="37"/>
  </si>
  <si>
    <t>国外で支払われる預貯金等の利子などが該当します。</t>
    <rPh sb="0" eb="2">
      <t>コクガイ</t>
    </rPh>
    <rPh sb="3" eb="5">
      <t>シハラ</t>
    </rPh>
    <rPh sb="8" eb="11">
      <t>ヨチョキン</t>
    </rPh>
    <rPh sb="11" eb="12">
      <t>トウ</t>
    </rPh>
    <rPh sb="13" eb="15">
      <t>リシ</t>
    </rPh>
    <rPh sb="18" eb="20">
      <t>ガイトウ</t>
    </rPh>
    <phoneticPr fontId="37"/>
  </si>
  <si>
    <r>
      <t>申告する総合課税の</t>
    </r>
    <r>
      <rPr>
        <b/>
        <sz val="11"/>
        <rFont val="Meiryo UI"/>
        <family val="3"/>
        <charset val="128"/>
      </rPr>
      <t>配当所得</t>
    </r>
    <r>
      <rPr>
        <sz val="11"/>
        <rFont val="Meiryo UI"/>
        <family val="3"/>
        <charset val="128"/>
      </rPr>
      <t>がある人は配当収入及び経費を入力してください。</t>
    </r>
    <rPh sb="0" eb="2">
      <t>シンコク</t>
    </rPh>
    <rPh sb="4" eb="6">
      <t>ソウゴウ</t>
    </rPh>
    <rPh sb="6" eb="8">
      <t>カゼイ</t>
    </rPh>
    <rPh sb="9" eb="11">
      <t>ハイトウ</t>
    </rPh>
    <rPh sb="11" eb="13">
      <t>ショトク</t>
    </rPh>
    <rPh sb="16" eb="17">
      <t>ヒト</t>
    </rPh>
    <rPh sb="18" eb="20">
      <t>ハイトウ</t>
    </rPh>
    <rPh sb="20" eb="22">
      <t>シュウニュウ</t>
    </rPh>
    <rPh sb="22" eb="23">
      <t>オヨ</t>
    </rPh>
    <rPh sb="24" eb="26">
      <t>ケイヒ</t>
    </rPh>
    <rPh sb="27" eb="29">
      <t>ニュウリョク</t>
    </rPh>
    <phoneticPr fontId="37"/>
  </si>
  <si>
    <t>農産物の生産、果樹などの栽培、養蚕、農家が兼営する家畜・家きんの飼育、酪農品の生産などが該当します。</t>
    <rPh sb="0" eb="3">
      <t>ノウサンブツ</t>
    </rPh>
    <rPh sb="4" eb="6">
      <t>セイサン</t>
    </rPh>
    <rPh sb="7" eb="9">
      <t>カジュ</t>
    </rPh>
    <rPh sb="12" eb="14">
      <t>サイバイ</t>
    </rPh>
    <rPh sb="15" eb="16">
      <t>ヨウ</t>
    </rPh>
    <rPh sb="16" eb="17">
      <t>カイコ</t>
    </rPh>
    <rPh sb="18" eb="20">
      <t>ノウカ</t>
    </rPh>
    <rPh sb="21" eb="23">
      <t>ケンエイ</t>
    </rPh>
    <rPh sb="25" eb="27">
      <t>カチク</t>
    </rPh>
    <rPh sb="28" eb="29">
      <t>イエ</t>
    </rPh>
    <rPh sb="32" eb="34">
      <t>シイク</t>
    </rPh>
    <rPh sb="35" eb="37">
      <t>ラクノウ</t>
    </rPh>
    <rPh sb="37" eb="38">
      <t>ヒン</t>
    </rPh>
    <rPh sb="39" eb="41">
      <t>セイサン</t>
    </rPh>
    <rPh sb="44" eb="46">
      <t>ガイトウ</t>
    </rPh>
    <phoneticPr fontId="37"/>
  </si>
  <si>
    <t>身体障害者手帳３級、４級、５級、6級、精神障害者保健福祉手帳２級、３級、療育手帳の障害の程度がA以外の手帳の発行を受けている人、65歳以上の人で障害の程度が障害者に準ずるものとして市長等の認定を受けている人（要介護１、２、３）など。</t>
    <rPh sb="8" eb="9">
      <t>キュウ</t>
    </rPh>
    <rPh sb="11" eb="12">
      <t>キュウ</t>
    </rPh>
    <rPh sb="14" eb="15">
      <t>キュウ</t>
    </rPh>
    <rPh sb="17" eb="18">
      <t>キュウ</t>
    </rPh>
    <rPh sb="31" eb="32">
      <t>キュウ</t>
    </rPh>
    <rPh sb="34" eb="35">
      <t>キュウ</t>
    </rPh>
    <rPh sb="36" eb="38">
      <t>リョウイク</t>
    </rPh>
    <rPh sb="38" eb="40">
      <t>テチョウ</t>
    </rPh>
    <rPh sb="41" eb="43">
      <t>ショウガイ</t>
    </rPh>
    <rPh sb="44" eb="46">
      <t>テイド</t>
    </rPh>
    <rPh sb="48" eb="50">
      <t>イガイ</t>
    </rPh>
    <rPh sb="51" eb="53">
      <t>テチョウ</t>
    </rPh>
    <rPh sb="54" eb="56">
      <t>ハッコウ</t>
    </rPh>
    <rPh sb="57" eb="58">
      <t>ウ</t>
    </rPh>
    <rPh sb="62" eb="63">
      <t>ヒト</t>
    </rPh>
    <phoneticPr fontId="37"/>
  </si>
  <si>
    <t>身体障害者手帳１級、２級、精神障害者保健福祉手帳１級、療育手帳の障害の程度がAの手帳の発行を受けている人、65歳以上の人で障害の程度が障害者に準ずるものとして市長等の認定を受けている人（要介護４、５）、継続して６箇月以上寝たきりで複雑な介護を要する人、常に精神上の障害により事理を弁識する能力を欠く状態にある人など。</t>
    <rPh sb="8" eb="9">
      <t>キュウ</t>
    </rPh>
    <rPh sb="11" eb="12">
      <t>キュウ</t>
    </rPh>
    <rPh sb="25" eb="26">
      <t>キュウ</t>
    </rPh>
    <rPh sb="27" eb="29">
      <t>リョウイク</t>
    </rPh>
    <rPh sb="29" eb="31">
      <t>テチョウ</t>
    </rPh>
    <rPh sb="32" eb="34">
      <t>ショウガイ</t>
    </rPh>
    <rPh sb="35" eb="37">
      <t>テイド</t>
    </rPh>
    <rPh sb="40" eb="42">
      <t>テチョウ</t>
    </rPh>
    <rPh sb="43" eb="45">
      <t>ハッコウ</t>
    </rPh>
    <rPh sb="46" eb="47">
      <t>ウ</t>
    </rPh>
    <rPh sb="51" eb="52">
      <t>ヒト</t>
    </rPh>
    <rPh sb="93" eb="94">
      <t>ヨウ</t>
    </rPh>
    <rPh sb="94" eb="96">
      <t>カイゴ</t>
    </rPh>
    <rPh sb="101" eb="103">
      <t>ケイゾク</t>
    </rPh>
    <rPh sb="106" eb="108">
      <t>カゲツ</t>
    </rPh>
    <rPh sb="108" eb="110">
      <t>イジョウ</t>
    </rPh>
    <rPh sb="110" eb="111">
      <t>ネ</t>
    </rPh>
    <rPh sb="115" eb="117">
      <t>フクザツ</t>
    </rPh>
    <rPh sb="118" eb="120">
      <t>カイゴ</t>
    </rPh>
    <rPh sb="121" eb="122">
      <t>ヨウ</t>
    </rPh>
    <rPh sb="124" eb="125">
      <t>ヒト</t>
    </rPh>
    <rPh sb="126" eb="127">
      <t>ツネ</t>
    </rPh>
    <rPh sb="128" eb="130">
      <t>セイシン</t>
    </rPh>
    <rPh sb="130" eb="131">
      <t>ジョウ</t>
    </rPh>
    <rPh sb="132" eb="134">
      <t>ショウガイ</t>
    </rPh>
    <rPh sb="137" eb="139">
      <t>ジリ</t>
    </rPh>
    <rPh sb="140" eb="142">
      <t>ベンシキ</t>
    </rPh>
    <rPh sb="144" eb="146">
      <t>ノウリョク</t>
    </rPh>
    <rPh sb="147" eb="148">
      <t>カ</t>
    </rPh>
    <rPh sb="149" eb="151">
      <t>ジョウタイ</t>
    </rPh>
    <rPh sb="154" eb="155">
      <t>ヒト</t>
    </rPh>
    <phoneticPr fontId="37"/>
  </si>
  <si>
    <t>セルフメディケーション税制の明細書を提出してください。なお、健康の保持増進や疾病予防に取り組んだ証明書や医薬品等購入時の領収書の提出は不要です。</t>
    <rPh sb="11" eb="13">
      <t>ゼイセイ</t>
    </rPh>
    <rPh sb="14" eb="17">
      <t>メイサイショ</t>
    </rPh>
    <rPh sb="18" eb="20">
      <t>テイシュツ</t>
    </rPh>
    <rPh sb="30" eb="32">
      <t>ケンコウ</t>
    </rPh>
    <rPh sb="33" eb="35">
      <t>ホジ</t>
    </rPh>
    <rPh sb="35" eb="37">
      <t>ゾウシン</t>
    </rPh>
    <rPh sb="38" eb="40">
      <t>シッペイ</t>
    </rPh>
    <rPh sb="40" eb="42">
      <t>ヨボウ</t>
    </rPh>
    <rPh sb="43" eb="44">
      <t>ト</t>
    </rPh>
    <rPh sb="45" eb="46">
      <t>ク</t>
    </rPh>
    <rPh sb="48" eb="51">
      <t>ショウメイショ</t>
    </rPh>
    <rPh sb="52" eb="55">
      <t>イヤクヒン</t>
    </rPh>
    <rPh sb="55" eb="56">
      <t>トウ</t>
    </rPh>
    <rPh sb="56" eb="58">
      <t>コウニュウ</t>
    </rPh>
    <rPh sb="58" eb="59">
      <t>ジ</t>
    </rPh>
    <rPh sb="60" eb="63">
      <t>リョウシュウショ</t>
    </rPh>
    <rPh sb="64" eb="66">
      <t>テイシュツ</t>
    </rPh>
    <rPh sb="67" eb="69">
      <t>フヨウ</t>
    </rPh>
    <phoneticPr fontId="37"/>
  </si>
  <si>
    <r>
      <t>所得金額マイナスのときの医療費控除の計算修正（令和3年度課税用も修正済み）
（修正前）
=IFERROR(IF(AND(計算用資料!D121&gt;0,給与・年金!G27="■"),"市で計算します",MAX(MIN(D121-F121-MIN(100000,</t>
    </r>
    <r>
      <rPr>
        <b/>
        <sz val="11"/>
        <color rgb="FFFF0000"/>
        <rFont val="Meiryo UI"/>
        <family val="3"/>
        <charset val="128"/>
      </rPr>
      <t>ROUNDDOWN(J122*5/100,0)</t>
    </r>
    <r>
      <rPr>
        <sz val="11"/>
        <rFont val="Meiryo UI"/>
        <family val="3"/>
        <charset val="128"/>
      </rPr>
      <t>),2000000),0)),0)
（修正後）
=IFERROR(IF(AND(計算用資料!D121&gt;0,給与・年金!G27="■"),"市で計算します",MAX(MIN(D121-F121-MIN(100000,</t>
    </r>
    <r>
      <rPr>
        <b/>
        <sz val="11"/>
        <color rgb="FFFF0000"/>
        <rFont val="Meiryo UI"/>
        <family val="3"/>
        <charset val="128"/>
      </rPr>
      <t>MAX(ROUNDDOWN(J122*5/100,0)</t>
    </r>
    <r>
      <rPr>
        <sz val="11"/>
        <rFont val="Meiryo UI"/>
        <family val="3"/>
        <charset val="128"/>
      </rPr>
      <t>,0)),2000000),0)),0)</t>
    </r>
    <rPh sb="0" eb="2">
      <t>ショトク</t>
    </rPh>
    <rPh sb="2" eb="4">
      <t>キンガク</t>
    </rPh>
    <rPh sb="12" eb="15">
      <t>イリョウヒ</t>
    </rPh>
    <rPh sb="15" eb="17">
      <t>コウジョ</t>
    </rPh>
    <rPh sb="18" eb="20">
      <t>ケイサン</t>
    </rPh>
    <rPh sb="20" eb="22">
      <t>シュウセイ</t>
    </rPh>
    <rPh sb="23" eb="25">
      <t>レイワ</t>
    </rPh>
    <rPh sb="26" eb="28">
      <t>ネンド</t>
    </rPh>
    <rPh sb="28" eb="30">
      <t>カゼイ</t>
    </rPh>
    <rPh sb="30" eb="31">
      <t>ヨウ</t>
    </rPh>
    <rPh sb="32" eb="34">
      <t>シュウセイ</t>
    </rPh>
    <rPh sb="34" eb="35">
      <t>ズ</t>
    </rPh>
    <rPh sb="39" eb="41">
      <t>シュウセイ</t>
    </rPh>
    <rPh sb="41" eb="42">
      <t>マエ</t>
    </rPh>
    <rPh sb="169" eb="171">
      <t>シュウセイ</t>
    </rPh>
    <rPh sb="171" eb="172">
      <t>ゴ</t>
    </rPh>
    <phoneticPr fontId="37"/>
  </si>
  <si>
    <t>https://www.pref.gunma.jp/04/a4310094.html</t>
    <phoneticPr fontId="37"/>
  </si>
  <si>
    <t>https://www.city.kiryu.lg.jp/kurashi/zei/shiminzei/1000667.html</t>
    <phoneticPr fontId="37"/>
  </si>
  <si>
    <t>群馬県 指定寄付金：</t>
    <rPh sb="0" eb="3">
      <t>グンマケン</t>
    </rPh>
    <rPh sb="4" eb="6">
      <t>シテイ</t>
    </rPh>
    <rPh sb="6" eb="9">
      <t>キフキン</t>
    </rPh>
    <phoneticPr fontId="37"/>
  </si>
  <si>
    <t>桐生市 指定寄付金：</t>
    <rPh sb="0" eb="3">
      <t>キリュウシ</t>
    </rPh>
    <rPh sb="4" eb="6">
      <t>シテイ</t>
    </rPh>
    <rPh sb="6" eb="9">
      <t>キフキン</t>
    </rPh>
    <phoneticPr fontId="37"/>
  </si>
  <si>
    <t>(本ファイル公開時の県・市ホームページのURLです。)</t>
    <rPh sb="1" eb="2">
      <t>ホン</t>
    </rPh>
    <phoneticPr fontId="37"/>
  </si>
  <si>
    <r>
      <t>総合譲渡</t>
    </r>
    <r>
      <rPr>
        <b/>
        <sz val="11"/>
        <rFont val="Meiryo UI"/>
        <family val="3"/>
        <charset val="128"/>
      </rPr>
      <t>短期</t>
    </r>
    <r>
      <rPr>
        <sz val="11"/>
        <rFont val="Meiryo UI"/>
        <family val="3"/>
        <charset val="128"/>
      </rPr>
      <t>所得がある人は、短期譲渡にかかる収入金額及び所得金額を入力してください。</t>
    </r>
    <rPh sb="0" eb="2">
      <t>ソウゴウ</t>
    </rPh>
    <rPh sb="2" eb="4">
      <t>ジョウト</t>
    </rPh>
    <rPh sb="4" eb="6">
      <t>タンキ</t>
    </rPh>
    <rPh sb="6" eb="8">
      <t>ショトク</t>
    </rPh>
    <rPh sb="11" eb="12">
      <t>ヒト</t>
    </rPh>
    <rPh sb="14" eb="16">
      <t>タンキ</t>
    </rPh>
    <rPh sb="16" eb="18">
      <t>ジョウト</t>
    </rPh>
    <rPh sb="22" eb="24">
      <t>シュウニュウ</t>
    </rPh>
    <rPh sb="24" eb="26">
      <t>キンガク</t>
    </rPh>
    <rPh sb="26" eb="27">
      <t>オヨ</t>
    </rPh>
    <rPh sb="28" eb="30">
      <t>ショトク</t>
    </rPh>
    <rPh sb="30" eb="32">
      <t>キンガク</t>
    </rPh>
    <rPh sb="33" eb="35">
      <t>ニュウリョク</t>
    </rPh>
    <phoneticPr fontId="37"/>
  </si>
  <si>
    <r>
      <t>総合譲渡</t>
    </r>
    <r>
      <rPr>
        <b/>
        <sz val="11"/>
        <rFont val="Meiryo UI"/>
        <family val="3"/>
        <charset val="128"/>
      </rPr>
      <t>長期</t>
    </r>
    <r>
      <rPr>
        <sz val="11"/>
        <rFont val="Meiryo UI"/>
        <family val="3"/>
        <charset val="128"/>
      </rPr>
      <t>所得がある人は、長期譲渡にかかる収入金額及び所得金額を入力してください。</t>
    </r>
    <rPh sb="0" eb="2">
      <t>ソウゴウ</t>
    </rPh>
    <rPh sb="2" eb="4">
      <t>ジョウト</t>
    </rPh>
    <rPh sb="4" eb="6">
      <t>チョウキ</t>
    </rPh>
    <rPh sb="6" eb="8">
      <t>ショトク</t>
    </rPh>
    <rPh sb="11" eb="12">
      <t>ヒト</t>
    </rPh>
    <rPh sb="14" eb="16">
      <t>チョウキ</t>
    </rPh>
    <rPh sb="16" eb="18">
      <t>ジョウト</t>
    </rPh>
    <rPh sb="22" eb="24">
      <t>シュウニュウ</t>
    </rPh>
    <rPh sb="24" eb="26">
      <t>キンガク</t>
    </rPh>
    <rPh sb="26" eb="27">
      <t>オヨ</t>
    </rPh>
    <rPh sb="28" eb="30">
      <t>ショトク</t>
    </rPh>
    <rPh sb="30" eb="32">
      <t>キンガク</t>
    </rPh>
    <rPh sb="33" eb="35">
      <t>ニュウリョク</t>
    </rPh>
    <phoneticPr fontId="37"/>
  </si>
  <si>
    <t>卸売・小売・飲食店・製造・建設・運輸・サービス業などの営業、保険外交員などの職業が該当します。</t>
    <rPh sb="0" eb="2">
      <t>オロシウ</t>
    </rPh>
    <rPh sb="3" eb="5">
      <t>コウ</t>
    </rPh>
    <rPh sb="6" eb="8">
      <t>インショク</t>
    </rPh>
    <rPh sb="8" eb="9">
      <t>テン</t>
    </rPh>
    <rPh sb="10" eb="12">
      <t>セイゾウ</t>
    </rPh>
    <rPh sb="13" eb="15">
      <t>ケンセツ</t>
    </rPh>
    <rPh sb="16" eb="18">
      <t>ウンユ</t>
    </rPh>
    <rPh sb="23" eb="24">
      <t>ギョウ</t>
    </rPh>
    <rPh sb="27" eb="29">
      <t>エイギョウ</t>
    </rPh>
    <rPh sb="30" eb="32">
      <t>ホケン</t>
    </rPh>
    <rPh sb="32" eb="35">
      <t>ガイコウイン</t>
    </rPh>
    <rPh sb="38" eb="40">
      <t>ショクギョウ</t>
    </rPh>
    <rPh sb="41" eb="43">
      <t>ガイトウ</t>
    </rPh>
    <phoneticPr fontId="37"/>
  </si>
  <si>
    <t>土地や建物、不動産の上に存する権利などの貸付けから生ずる所得が該当します。</t>
    <rPh sb="0" eb="2">
      <t>トチ</t>
    </rPh>
    <rPh sb="3" eb="5">
      <t>タテモノ</t>
    </rPh>
    <rPh sb="6" eb="9">
      <t>フドウサン</t>
    </rPh>
    <rPh sb="10" eb="11">
      <t>ウエ</t>
    </rPh>
    <rPh sb="12" eb="13">
      <t>ゾン</t>
    </rPh>
    <rPh sb="15" eb="17">
      <t>ケンリ</t>
    </rPh>
    <rPh sb="20" eb="22">
      <t>カシツ</t>
    </rPh>
    <rPh sb="25" eb="26">
      <t>ショウ</t>
    </rPh>
    <rPh sb="28" eb="30">
      <t>ショトク</t>
    </rPh>
    <rPh sb="31" eb="33">
      <t>ガイトウ</t>
    </rPh>
    <phoneticPr fontId="37"/>
  </si>
  <si>
    <t>生命保険の年金（個人年金保険）、互助年金、暗号資産取引などによる所得が該当します。</t>
    <rPh sb="0" eb="2">
      <t>セイメイ</t>
    </rPh>
    <rPh sb="2" eb="4">
      <t>ホケン</t>
    </rPh>
    <rPh sb="5" eb="7">
      <t>ネンキン</t>
    </rPh>
    <rPh sb="8" eb="10">
      <t>コジン</t>
    </rPh>
    <rPh sb="10" eb="12">
      <t>ネンキン</t>
    </rPh>
    <rPh sb="12" eb="14">
      <t>ホケン</t>
    </rPh>
    <rPh sb="16" eb="18">
      <t>ゴジョ</t>
    </rPh>
    <rPh sb="18" eb="20">
      <t>ネンキン</t>
    </rPh>
    <rPh sb="21" eb="23">
      <t>アンゴウ</t>
    </rPh>
    <rPh sb="23" eb="25">
      <t>シサン</t>
    </rPh>
    <rPh sb="25" eb="27">
      <t>トリヒキ</t>
    </rPh>
    <rPh sb="32" eb="34">
      <t>ショトク</t>
    </rPh>
    <rPh sb="35" eb="37">
      <t>ガイトウ</t>
    </rPh>
    <phoneticPr fontId="37"/>
  </si>
  <si>
    <t>事業所得にならない原稿料やネットオークションなどを利用した個人取引、シルバー人材センターの報酬、配達などの副収入による所得が該当します。</t>
    <rPh sb="0" eb="2">
      <t>ジギョウ</t>
    </rPh>
    <rPh sb="2" eb="4">
      <t>ショトク</t>
    </rPh>
    <rPh sb="9" eb="12">
      <t>ゲンコウリョウ</t>
    </rPh>
    <rPh sb="25" eb="27">
      <t>リヨウ</t>
    </rPh>
    <rPh sb="29" eb="31">
      <t>コジン</t>
    </rPh>
    <rPh sb="31" eb="33">
      <t>トリヒキ</t>
    </rPh>
    <rPh sb="38" eb="40">
      <t>ジンザイ</t>
    </rPh>
    <rPh sb="45" eb="47">
      <t>ホウシュウ</t>
    </rPh>
    <rPh sb="48" eb="50">
      <t>ハイタツ</t>
    </rPh>
    <rPh sb="53" eb="56">
      <t>フクシュウニュウ</t>
    </rPh>
    <rPh sb="59" eb="61">
      <t>ショトク</t>
    </rPh>
    <rPh sb="62" eb="64">
      <t>ガイトウ</t>
    </rPh>
    <phoneticPr fontId="37"/>
  </si>
  <si>
    <r>
      <t>金地金や骨とう、貴金属などの資産譲渡から生ずる所得が該当します。</t>
    </r>
    <r>
      <rPr>
        <b/>
        <sz val="11"/>
        <rFont val="Meiryo UI"/>
        <family val="3"/>
        <charset val="128"/>
      </rPr>
      <t>保有期間５年以内</t>
    </r>
    <r>
      <rPr>
        <sz val="11"/>
        <rFont val="Meiryo UI"/>
        <family val="3"/>
        <charset val="128"/>
      </rPr>
      <t>の資産譲渡は短期譲渡所得です。</t>
    </r>
    <rPh sb="0" eb="1">
      <t>キン</t>
    </rPh>
    <rPh sb="1" eb="2">
      <t>チ</t>
    </rPh>
    <rPh sb="2" eb="3">
      <t>キン</t>
    </rPh>
    <rPh sb="4" eb="5">
      <t>コッ</t>
    </rPh>
    <rPh sb="8" eb="11">
      <t>キキンゾク</t>
    </rPh>
    <rPh sb="14" eb="16">
      <t>シサン</t>
    </rPh>
    <rPh sb="16" eb="18">
      <t>ジョウト</t>
    </rPh>
    <rPh sb="20" eb="21">
      <t>ショウ</t>
    </rPh>
    <rPh sb="23" eb="25">
      <t>ショトク</t>
    </rPh>
    <rPh sb="26" eb="28">
      <t>ガイトウ</t>
    </rPh>
    <rPh sb="32" eb="34">
      <t>ホユウ</t>
    </rPh>
    <rPh sb="34" eb="36">
      <t>キカン</t>
    </rPh>
    <rPh sb="37" eb="38">
      <t>ネン</t>
    </rPh>
    <rPh sb="38" eb="40">
      <t>イナイ</t>
    </rPh>
    <rPh sb="41" eb="43">
      <t>シサン</t>
    </rPh>
    <rPh sb="43" eb="45">
      <t>ジョウト</t>
    </rPh>
    <rPh sb="46" eb="48">
      <t>タンキ</t>
    </rPh>
    <rPh sb="48" eb="50">
      <t>ジョウト</t>
    </rPh>
    <rPh sb="50" eb="52">
      <t>ショトク</t>
    </rPh>
    <phoneticPr fontId="37"/>
  </si>
  <si>
    <r>
      <t>金地金や骨とう、貴金属などの資産譲渡から生ずる所得が該当します。</t>
    </r>
    <r>
      <rPr>
        <b/>
        <sz val="11"/>
        <rFont val="Meiryo UI"/>
        <family val="3"/>
        <charset val="128"/>
      </rPr>
      <t>保有期間５年超</t>
    </r>
    <r>
      <rPr>
        <sz val="11"/>
        <rFont val="Meiryo UI"/>
        <family val="3"/>
        <charset val="128"/>
      </rPr>
      <t>の資産譲渡は長期譲渡所得です。</t>
    </r>
    <rPh sb="38" eb="39">
      <t>チョウ</t>
    </rPh>
    <rPh sb="45" eb="47">
      <t>チョウキ</t>
    </rPh>
    <phoneticPr fontId="37"/>
  </si>
  <si>
    <r>
      <rPr>
        <b/>
        <sz val="11"/>
        <rFont val="Meiryo UI"/>
        <family val="3"/>
        <charset val="128"/>
      </rPr>
      <t>障害者</t>
    </r>
    <r>
      <rPr>
        <sz val="11"/>
        <rFont val="Meiryo UI"/>
        <family val="3"/>
        <charset val="128"/>
      </rPr>
      <t>とは・・・</t>
    </r>
    <rPh sb="0" eb="3">
      <t>ショウガイシャ</t>
    </rPh>
    <phoneticPr fontId="37"/>
  </si>
  <si>
    <r>
      <rPr>
        <b/>
        <sz val="11"/>
        <rFont val="Meiryo UI"/>
        <family val="3"/>
        <charset val="128"/>
      </rPr>
      <t>特別障害者</t>
    </r>
    <r>
      <rPr>
        <sz val="11"/>
        <rFont val="Meiryo UI"/>
        <family val="3"/>
        <charset val="128"/>
      </rPr>
      <t>とは・・・</t>
    </r>
    <rPh sb="0" eb="2">
      <t>トクベツ</t>
    </rPh>
    <rPh sb="2" eb="5">
      <t>ショウガイシャ</t>
    </rPh>
    <phoneticPr fontId="37"/>
  </si>
  <si>
    <t>シート</t>
    <phoneticPr fontId="37"/>
  </si>
  <si>
    <t>申告書</t>
    <rPh sb="0" eb="3">
      <t>シンコクショ</t>
    </rPh>
    <phoneticPr fontId="37"/>
  </si>
  <si>
    <t>配偶者・扶養</t>
    <rPh sb="0" eb="3">
      <t>ハイグウシャ</t>
    </rPh>
    <rPh sb="4" eb="6">
      <t>フヨウ</t>
    </rPh>
    <phoneticPr fontId="37"/>
  </si>
  <si>
    <t>はじめに</t>
    <phoneticPr fontId="37"/>
  </si>
  <si>
    <t>計算用資料</t>
    <rPh sb="0" eb="3">
      <t>ケイサンヨウ</t>
    </rPh>
    <rPh sb="3" eb="5">
      <t>シリョウ</t>
    </rPh>
    <phoneticPr fontId="37"/>
  </si>
  <si>
    <t>社会保険</t>
    <rPh sb="0" eb="2">
      <t>シャカイ</t>
    </rPh>
    <rPh sb="2" eb="4">
      <t>ホケン</t>
    </rPh>
    <phoneticPr fontId="37"/>
  </si>
  <si>
    <t>年金</t>
    <rPh sb="0" eb="2">
      <t>ネンキン</t>
    </rPh>
    <phoneticPr fontId="37"/>
  </si>
  <si>
    <t>-</t>
    <phoneticPr fontId="37"/>
  </si>
  <si>
    <t>一時所得</t>
    <rPh sb="0" eb="2">
      <t>イチジ</t>
    </rPh>
    <rPh sb="2" eb="4">
      <t>ショトク</t>
    </rPh>
    <phoneticPr fontId="37"/>
  </si>
  <si>
    <t>営業等</t>
    <rPh sb="0" eb="2">
      <t>エイギョウ</t>
    </rPh>
    <rPh sb="2" eb="3">
      <t>トウ</t>
    </rPh>
    <phoneticPr fontId="37"/>
  </si>
  <si>
    <t>所得税確定申告書の手引きより、総合譲渡所得・一時所得の項目で、「計算が複雑になるので税務署にお尋ねください」に該当する場合に使用しないように注意喚起表示。
市申で土地譲渡と思われる所得を総合課税で提出してきた人がいたので、念のため一時所得等に追加。</t>
    <rPh sb="0" eb="3">
      <t>ショトクゼイ</t>
    </rPh>
    <rPh sb="3" eb="5">
      <t>カクテイ</t>
    </rPh>
    <rPh sb="5" eb="7">
      <t>シンコク</t>
    </rPh>
    <rPh sb="7" eb="8">
      <t>ショ</t>
    </rPh>
    <rPh sb="9" eb="11">
      <t>テビ</t>
    </rPh>
    <rPh sb="15" eb="17">
      <t>ソウゴウ</t>
    </rPh>
    <rPh sb="17" eb="19">
      <t>ジョウト</t>
    </rPh>
    <rPh sb="19" eb="21">
      <t>ショトク</t>
    </rPh>
    <rPh sb="22" eb="24">
      <t>イチジ</t>
    </rPh>
    <rPh sb="24" eb="26">
      <t>ショトク</t>
    </rPh>
    <rPh sb="27" eb="29">
      <t>コウモク</t>
    </rPh>
    <rPh sb="32" eb="34">
      <t>ケイサン</t>
    </rPh>
    <rPh sb="35" eb="37">
      <t>フクザツ</t>
    </rPh>
    <rPh sb="42" eb="45">
      <t>ゼイムショ</t>
    </rPh>
    <rPh sb="47" eb="48">
      <t>タズ</t>
    </rPh>
    <rPh sb="55" eb="57">
      <t>ガイトウ</t>
    </rPh>
    <rPh sb="59" eb="61">
      <t>バアイ</t>
    </rPh>
    <rPh sb="62" eb="64">
      <t>シヨウ</t>
    </rPh>
    <rPh sb="70" eb="72">
      <t>チュウイ</t>
    </rPh>
    <rPh sb="72" eb="74">
      <t>カンキ</t>
    </rPh>
    <rPh sb="74" eb="76">
      <t>ヒョウジ</t>
    </rPh>
    <phoneticPr fontId="37"/>
  </si>
  <si>
    <t>一時所得等シートの注意喚起表示の修正。
説明一文を確定申告書の手引きを参考に追加。</t>
    <rPh sb="0" eb="2">
      <t>イチジ</t>
    </rPh>
    <rPh sb="2" eb="4">
      <t>ショトク</t>
    </rPh>
    <rPh sb="4" eb="5">
      <t>トウ</t>
    </rPh>
    <rPh sb="9" eb="11">
      <t>チュウイ</t>
    </rPh>
    <rPh sb="11" eb="13">
      <t>カンキ</t>
    </rPh>
    <rPh sb="13" eb="15">
      <t>ヒョウジ</t>
    </rPh>
    <rPh sb="16" eb="18">
      <t>シュウセイ</t>
    </rPh>
    <phoneticPr fontId="37"/>
  </si>
  <si>
    <t>一時所得等に一文追加したので、バランスとるために営業等にも同様に追加。</t>
    <rPh sb="0" eb="2">
      <t>イチジ</t>
    </rPh>
    <rPh sb="2" eb="4">
      <t>ショトク</t>
    </rPh>
    <rPh sb="4" eb="5">
      <t>トウ</t>
    </rPh>
    <rPh sb="6" eb="8">
      <t>イチブン</t>
    </rPh>
    <rPh sb="8" eb="10">
      <t>ツイカ</t>
    </rPh>
    <rPh sb="24" eb="26">
      <t>エイギョウ</t>
    </rPh>
    <rPh sb="26" eb="27">
      <t>トウ</t>
    </rPh>
    <rPh sb="29" eb="31">
      <t>ドウヨウ</t>
    </rPh>
    <rPh sb="32" eb="34">
      <t>ツイカ</t>
    </rPh>
    <phoneticPr fontId="37"/>
  </si>
  <si>
    <t>障害者</t>
    <rPh sb="0" eb="3">
      <t>ショウガイシャ</t>
    </rPh>
    <phoneticPr fontId="37"/>
  </si>
  <si>
    <t>セル配置を修正。</t>
    <rPh sb="2" eb="4">
      <t>ハイチ</t>
    </rPh>
    <rPh sb="5" eb="7">
      <t>シュウセイ</t>
    </rPh>
    <phoneticPr fontId="37"/>
  </si>
  <si>
    <t>寡婦・ひとり親</t>
    <rPh sb="0" eb="2">
      <t>カフ</t>
    </rPh>
    <rPh sb="6" eb="7">
      <t>オヤ</t>
    </rPh>
    <phoneticPr fontId="37"/>
  </si>
  <si>
    <t>見た目を整えました。</t>
    <rPh sb="0" eb="1">
      <t>ミ</t>
    </rPh>
    <rPh sb="2" eb="3">
      <t>メ</t>
    </rPh>
    <rPh sb="4" eb="5">
      <t>トトノ</t>
    </rPh>
    <phoneticPr fontId="37"/>
  </si>
  <si>
    <t>医療費</t>
    <rPh sb="0" eb="3">
      <t>イリョウヒ</t>
    </rPh>
    <phoneticPr fontId="37"/>
  </si>
  <si>
    <t>5</t>
    <phoneticPr fontId="37"/>
  </si>
  <si>
    <t>8</t>
    <phoneticPr fontId="37"/>
  </si>
  <si>
    <t>11</t>
    <phoneticPr fontId="37"/>
  </si>
  <si>
    <t>15</t>
    <phoneticPr fontId="37"/>
  </si>
  <si>
    <t>18</t>
    <phoneticPr fontId="37"/>
  </si>
  <si>
    <t>21</t>
    <phoneticPr fontId="37"/>
  </si>
  <si>
    <t>6</t>
    <phoneticPr fontId="37"/>
  </si>
  <si>
    <t>7</t>
    <phoneticPr fontId="37"/>
  </si>
  <si>
    <t>12</t>
    <phoneticPr fontId="37"/>
  </si>
  <si>
    <t>16</t>
    <phoneticPr fontId="37"/>
  </si>
  <si>
    <t>17</t>
    <phoneticPr fontId="37"/>
  </si>
  <si>
    <t>19</t>
    <phoneticPr fontId="37"/>
  </si>
  <si>
    <t>19</t>
    <phoneticPr fontId="37"/>
  </si>
  <si>
    <t>22</t>
    <phoneticPr fontId="37"/>
  </si>
  <si>
    <t>25</t>
    <phoneticPr fontId="37"/>
  </si>
  <si>
    <t>E</t>
    <phoneticPr fontId="37"/>
  </si>
  <si>
    <t>I</t>
    <phoneticPr fontId="37"/>
  </si>
  <si>
    <t>J</t>
    <phoneticPr fontId="37"/>
  </si>
  <si>
    <t>H</t>
    <phoneticPr fontId="37"/>
  </si>
  <si>
    <t>E</t>
    <phoneticPr fontId="37"/>
  </si>
  <si>
    <t>E</t>
    <phoneticPr fontId="37"/>
  </si>
  <si>
    <t>C</t>
    <phoneticPr fontId="37"/>
  </si>
  <si>
    <t>D</t>
    <phoneticPr fontId="37"/>
  </si>
  <si>
    <t>F</t>
    <phoneticPr fontId="37"/>
  </si>
  <si>
    <t>G</t>
    <phoneticPr fontId="37"/>
  </si>
  <si>
    <t>学年</t>
    <phoneticPr fontId="37"/>
  </si>
  <si>
    <t>扶養者の住所</t>
    <rPh sb="4" eb="6">
      <t>ジュウショ</t>
    </rPh>
    <phoneticPr fontId="37"/>
  </si>
  <si>
    <t>扶養者の氏名</t>
    <rPh sb="2" eb="3">
      <t>シャ</t>
    </rPh>
    <rPh sb="4" eb="6">
      <t>シメイ</t>
    </rPh>
    <phoneticPr fontId="37"/>
  </si>
  <si>
    <t>扶養者の続柄</t>
    <rPh sb="4" eb="6">
      <t>ツヅキガラ</t>
    </rPh>
    <phoneticPr fontId="37"/>
  </si>
  <si>
    <t>シート解説</t>
    <rPh sb="3" eb="5">
      <t>カイセツ</t>
    </rPh>
    <phoneticPr fontId="37"/>
  </si>
  <si>
    <t>継続的に改訂していくため</t>
    <rPh sb="0" eb="3">
      <t>ケイゾクテキ</t>
    </rPh>
    <rPh sb="4" eb="6">
      <t>カイテイ</t>
    </rPh>
    <phoneticPr fontId="37"/>
  </si>
  <si>
    <t>説明の詳細を追記</t>
    <rPh sb="0" eb="2">
      <t>セツメイ</t>
    </rPh>
    <rPh sb="3" eb="5">
      <t>ショウサイ</t>
    </rPh>
    <rPh sb="6" eb="8">
      <t>ツイキ</t>
    </rPh>
    <phoneticPr fontId="37"/>
  </si>
  <si>
    <t>上記いずれにも該当しない場合、以下に入力をお願いいたします（例：昨年末に日本に来たばかり　など）。</t>
    <rPh sb="0" eb="2">
      <t>ジョウキ</t>
    </rPh>
    <rPh sb="7" eb="9">
      <t>ガイトウ</t>
    </rPh>
    <rPh sb="12" eb="14">
      <t>バアイ</t>
    </rPh>
    <rPh sb="15" eb="17">
      <t>イカ</t>
    </rPh>
    <rPh sb="18" eb="20">
      <t>ニュウリョク</t>
    </rPh>
    <rPh sb="22" eb="23">
      <t>ネガ</t>
    </rPh>
    <rPh sb="30" eb="31">
      <t>レイ</t>
    </rPh>
    <rPh sb="32" eb="34">
      <t>サクネン</t>
    </rPh>
    <rPh sb="34" eb="35">
      <t>マツ</t>
    </rPh>
    <rPh sb="36" eb="38">
      <t>ニホン</t>
    </rPh>
    <rPh sb="39" eb="40">
      <t>キ</t>
    </rPh>
    <phoneticPr fontId="37"/>
  </si>
  <si>
    <t>課税年度</t>
    <rPh sb="0" eb="2">
      <t>カゼイ</t>
    </rPh>
    <rPh sb="2" eb="4">
      <t>ネンド</t>
    </rPh>
    <phoneticPr fontId="37"/>
  </si>
  <si>
    <t>年齢の境目</t>
    <rPh sb="0" eb="2">
      <t>ネンレイ</t>
    </rPh>
    <rPh sb="3" eb="5">
      <t>サカイメ</t>
    </rPh>
    <phoneticPr fontId="37"/>
  </si>
  <si>
    <t>年齢の境目</t>
    <phoneticPr fontId="37"/>
  </si>
  <si>
    <t>扶養控除の年齢の境目</t>
    <rPh sb="0" eb="2">
      <t>フヨウ</t>
    </rPh>
    <rPh sb="2" eb="4">
      <t>コウジョ</t>
    </rPh>
    <rPh sb="5" eb="7">
      <t>ネンレイ</t>
    </rPh>
    <rPh sb="8" eb="10">
      <t>サカイメ</t>
    </rPh>
    <phoneticPr fontId="37"/>
  </si>
  <si>
    <t>毎年変更が必要。課税年度の賦課期日をYYYYMMDDの数字で入力してください。（例：2022年1月1日が賦課期日のとき：20220101）</t>
    <rPh sb="0" eb="2">
      <t>マイトシ</t>
    </rPh>
    <rPh sb="2" eb="4">
      <t>ヘンコウ</t>
    </rPh>
    <rPh sb="5" eb="7">
      <t>ヒツヨウ</t>
    </rPh>
    <rPh sb="8" eb="10">
      <t>カゼイ</t>
    </rPh>
    <rPh sb="10" eb="12">
      <t>ネンド</t>
    </rPh>
    <rPh sb="13" eb="15">
      <t>フカ</t>
    </rPh>
    <rPh sb="15" eb="17">
      <t>キジツ</t>
    </rPh>
    <rPh sb="27" eb="29">
      <t>スウジ</t>
    </rPh>
    <rPh sb="30" eb="32">
      <t>ニュウリョク</t>
    </rPh>
    <rPh sb="40" eb="41">
      <t>レイ</t>
    </rPh>
    <rPh sb="46" eb="47">
      <t>ネン</t>
    </rPh>
    <rPh sb="48" eb="49">
      <t>ガツ</t>
    </rPh>
    <rPh sb="50" eb="51">
      <t>ニチ</t>
    </rPh>
    <rPh sb="52" eb="54">
      <t>フカ</t>
    </rPh>
    <rPh sb="54" eb="56">
      <t>キジツ</t>
    </rPh>
    <phoneticPr fontId="37"/>
  </si>
  <si>
    <t>令和4年度用として作成（年度変更に伴う箇所修正）。細かい誤字脱字の修正。</t>
    <rPh sb="0" eb="2">
      <t>レイワ</t>
    </rPh>
    <rPh sb="3" eb="5">
      <t>ネンド</t>
    </rPh>
    <rPh sb="5" eb="6">
      <t>ヨウ</t>
    </rPh>
    <rPh sb="9" eb="11">
      <t>サクセイ</t>
    </rPh>
    <rPh sb="12" eb="14">
      <t>ネンド</t>
    </rPh>
    <rPh sb="14" eb="16">
      <t>ヘンコウ</t>
    </rPh>
    <rPh sb="17" eb="18">
      <t>トモナ</t>
    </rPh>
    <rPh sb="19" eb="21">
      <t>カショ</t>
    </rPh>
    <rPh sb="21" eb="23">
      <t>シュウセイ</t>
    </rPh>
    <rPh sb="25" eb="26">
      <t>コマ</t>
    </rPh>
    <rPh sb="28" eb="30">
      <t>ゴジ</t>
    </rPh>
    <rPh sb="30" eb="32">
      <t>ダツジ</t>
    </rPh>
    <rPh sb="33" eb="35">
      <t>シュウセイ</t>
    </rPh>
    <phoneticPr fontId="37"/>
  </si>
  <si>
    <t>所得がマイナスだと医療費控除を申告していないのに所得金額の5％の絶対値が医療費控除として入っていました。新年度用に改訂中に判明し、これまでのところこれを原因にした誤った申告書は確認されていない。</t>
    <rPh sb="0" eb="2">
      <t>ショトク</t>
    </rPh>
    <rPh sb="9" eb="12">
      <t>イリョウヒ</t>
    </rPh>
    <rPh sb="12" eb="14">
      <t>コウジョ</t>
    </rPh>
    <rPh sb="15" eb="17">
      <t>シンコク</t>
    </rPh>
    <rPh sb="24" eb="26">
      <t>ショトク</t>
    </rPh>
    <rPh sb="26" eb="28">
      <t>キンガク</t>
    </rPh>
    <rPh sb="32" eb="35">
      <t>ゼッタイチ</t>
    </rPh>
    <rPh sb="36" eb="39">
      <t>イリョウヒ</t>
    </rPh>
    <rPh sb="39" eb="41">
      <t>コウジョ</t>
    </rPh>
    <rPh sb="44" eb="45">
      <t>ハイ</t>
    </rPh>
    <rPh sb="52" eb="55">
      <t>シンネンド</t>
    </rPh>
    <rPh sb="55" eb="56">
      <t>ヨウ</t>
    </rPh>
    <rPh sb="57" eb="59">
      <t>カイテイ</t>
    </rPh>
    <rPh sb="59" eb="60">
      <t>チュウ</t>
    </rPh>
    <rPh sb="61" eb="63">
      <t>ハンメイ</t>
    </rPh>
    <rPh sb="76" eb="78">
      <t>ゲンイン</t>
    </rPh>
    <rPh sb="81" eb="82">
      <t>アヤマ</t>
    </rPh>
    <rPh sb="84" eb="86">
      <t>シンコク</t>
    </rPh>
    <rPh sb="86" eb="87">
      <t>ショ</t>
    </rPh>
    <rPh sb="88" eb="90">
      <t>カクニン</t>
    </rPh>
    <phoneticPr fontId="37"/>
  </si>
  <si>
    <t>毎年、年齢要件を修正していくのが大変なため</t>
    <rPh sb="0" eb="2">
      <t>マイトシ</t>
    </rPh>
    <rPh sb="3" eb="5">
      <t>ネンレイ</t>
    </rPh>
    <rPh sb="5" eb="7">
      <t>ヨウケン</t>
    </rPh>
    <rPh sb="8" eb="10">
      <t>シュウセイ</t>
    </rPh>
    <rPh sb="16" eb="18">
      <t>タイヘン</t>
    </rPh>
    <phoneticPr fontId="37"/>
  </si>
  <si>
    <t>賦課期日を入力することで、年齢要件の境目の日付を自動的に更新するように変更。
扶養親族の一般と老年が一年ズレていたため合わせて修正。</t>
    <rPh sb="0" eb="2">
      <t>フカ</t>
    </rPh>
    <rPh sb="2" eb="4">
      <t>キジツ</t>
    </rPh>
    <rPh sb="5" eb="7">
      <t>ニュウリョク</t>
    </rPh>
    <rPh sb="13" eb="15">
      <t>ネンレイ</t>
    </rPh>
    <rPh sb="15" eb="17">
      <t>ヨウケン</t>
    </rPh>
    <rPh sb="18" eb="20">
      <t>サカイメ</t>
    </rPh>
    <rPh sb="21" eb="23">
      <t>ヒヅケ</t>
    </rPh>
    <rPh sb="24" eb="27">
      <t>ジドウテキ</t>
    </rPh>
    <rPh sb="28" eb="30">
      <t>コウシン</t>
    </rPh>
    <rPh sb="35" eb="37">
      <t>ヘンコウ</t>
    </rPh>
    <rPh sb="39" eb="41">
      <t>フヨウ</t>
    </rPh>
    <rPh sb="41" eb="43">
      <t>シンゾク</t>
    </rPh>
    <rPh sb="44" eb="46">
      <t>イッパン</t>
    </rPh>
    <rPh sb="47" eb="49">
      <t>ロウネン</t>
    </rPh>
    <rPh sb="50" eb="52">
      <t>イチネン</t>
    </rPh>
    <rPh sb="59" eb="60">
      <t>ア</t>
    </rPh>
    <rPh sb="63" eb="65">
      <t>シュウセイ</t>
    </rPh>
    <phoneticPr fontId="37"/>
  </si>
  <si>
    <t>医療費控除は支払金額、補填金額、所得金額から計算されます。1月から12月までの医療費の支払金額とそれに対する補填金額を入力してください。</t>
    <rPh sb="0" eb="3">
      <t>イリョウヒ</t>
    </rPh>
    <rPh sb="3" eb="5">
      <t>コウジョ</t>
    </rPh>
    <rPh sb="6" eb="8">
      <t>シハライ</t>
    </rPh>
    <rPh sb="8" eb="10">
      <t>キンガク</t>
    </rPh>
    <rPh sb="11" eb="13">
      <t>ホテン</t>
    </rPh>
    <rPh sb="13" eb="15">
      <t>キンガク</t>
    </rPh>
    <rPh sb="16" eb="18">
      <t>ショトク</t>
    </rPh>
    <rPh sb="18" eb="20">
      <t>キンガク</t>
    </rPh>
    <rPh sb="22" eb="24">
      <t>ケイサン</t>
    </rPh>
    <rPh sb="30" eb="31">
      <t>ガツ</t>
    </rPh>
    <rPh sb="35" eb="36">
      <t>ガツ</t>
    </rPh>
    <rPh sb="39" eb="42">
      <t>イリョウヒ</t>
    </rPh>
    <rPh sb="43" eb="45">
      <t>シハライ</t>
    </rPh>
    <rPh sb="45" eb="47">
      <t>キンガク</t>
    </rPh>
    <rPh sb="51" eb="52">
      <t>タイ</t>
    </rPh>
    <rPh sb="54" eb="56">
      <t>ホテン</t>
    </rPh>
    <rPh sb="56" eb="58">
      <t>キンガク</t>
    </rPh>
    <rPh sb="59" eb="61">
      <t>ニュウリョク</t>
    </rPh>
    <phoneticPr fontId="37"/>
  </si>
  <si>
    <t>特定一般用医薬品などの購入費についてセルフメディケーション税制を適用する場合は、1月から12月までの支払金額とそれに対する補填金額を入力してください。</t>
    <rPh sb="0" eb="2">
      <t>トクテイ</t>
    </rPh>
    <rPh sb="2" eb="5">
      <t>イッパンヨウ</t>
    </rPh>
    <rPh sb="5" eb="8">
      <t>イヤクヒン</t>
    </rPh>
    <rPh sb="11" eb="14">
      <t>コウニュウヒ</t>
    </rPh>
    <rPh sb="29" eb="31">
      <t>ゼイセイ</t>
    </rPh>
    <rPh sb="32" eb="34">
      <t>テキヨウ</t>
    </rPh>
    <rPh sb="36" eb="38">
      <t>バアイ</t>
    </rPh>
    <rPh sb="41" eb="42">
      <t>ガツ</t>
    </rPh>
    <rPh sb="46" eb="47">
      <t>ガツ</t>
    </rPh>
    <phoneticPr fontId="37"/>
  </si>
  <si>
    <t>遺族年金や障害年金等は課税される収入ではありませんので、こちらには入力しないでください。</t>
    <rPh sb="33" eb="35">
      <t>ニュウリョク</t>
    </rPh>
    <phoneticPr fontId="37"/>
  </si>
  <si>
    <t>給与・年金</t>
    <rPh sb="0" eb="2">
      <t>キュウヨ</t>
    </rPh>
    <rPh sb="3" eb="5">
      <t>ネンキン</t>
    </rPh>
    <phoneticPr fontId="37"/>
  </si>
  <si>
    <t>源泉徴収票の図を縮小
障害者年金→障害年金</t>
    <rPh sb="0" eb="2">
      <t>ゲンセン</t>
    </rPh>
    <rPh sb="2" eb="5">
      <t>チョウシュウヒョウ</t>
    </rPh>
    <rPh sb="6" eb="7">
      <t>ズ</t>
    </rPh>
    <rPh sb="8" eb="10">
      <t>シュクショウ</t>
    </rPh>
    <rPh sb="11" eb="14">
      <t>ショウガイシャ</t>
    </rPh>
    <rPh sb="14" eb="16">
      <t>ネンキン</t>
    </rPh>
    <rPh sb="17" eb="19">
      <t>ショウガイ</t>
    </rPh>
    <rPh sb="19" eb="21">
      <t>ネンキン</t>
    </rPh>
    <phoneticPr fontId="37"/>
  </si>
  <si>
    <t>見た目の問題
年金機構のHPより、「障害年金」なので、正式な名称に修正。</t>
    <rPh sb="0" eb="1">
      <t>ミ</t>
    </rPh>
    <rPh sb="2" eb="3">
      <t>メ</t>
    </rPh>
    <rPh sb="4" eb="6">
      <t>モンダイ</t>
    </rPh>
    <rPh sb="7" eb="9">
      <t>ネンキン</t>
    </rPh>
    <rPh sb="9" eb="11">
      <t>キコウ</t>
    </rPh>
    <rPh sb="18" eb="20">
      <t>ショウガイ</t>
    </rPh>
    <rPh sb="20" eb="22">
      <t>ネンキン</t>
    </rPh>
    <rPh sb="27" eb="29">
      <t>セイシキ</t>
    </rPh>
    <rPh sb="30" eb="32">
      <t>メイショウ</t>
    </rPh>
    <rPh sb="33" eb="35">
      <t>シュウセイ</t>
    </rPh>
    <phoneticPr fontId="37"/>
  </si>
  <si>
    <t xml:space="preserve">説明一文を確定申告書の手引きを参考に追加。
</t>
    <rPh sb="0" eb="2">
      <t>セツメイ</t>
    </rPh>
    <rPh sb="2" eb="4">
      <t>イチブン</t>
    </rPh>
    <rPh sb="5" eb="7">
      <t>カクテイ</t>
    </rPh>
    <rPh sb="7" eb="9">
      <t>シンコク</t>
    </rPh>
    <rPh sb="9" eb="10">
      <t>ショ</t>
    </rPh>
    <rPh sb="11" eb="13">
      <t>テビ</t>
    </rPh>
    <rPh sb="15" eb="17">
      <t>サンコウ</t>
    </rPh>
    <rPh sb="18" eb="20">
      <t>ツイカ</t>
    </rPh>
    <phoneticPr fontId="37"/>
  </si>
  <si>
    <t>見た目が散らかっていたので、整えました。</t>
    <rPh sb="0" eb="1">
      <t>ミ</t>
    </rPh>
    <rPh sb="2" eb="3">
      <t>メ</t>
    </rPh>
    <rPh sb="4" eb="5">
      <t>チ</t>
    </rPh>
    <rPh sb="14" eb="15">
      <t>トトノ</t>
    </rPh>
    <phoneticPr fontId="37"/>
  </si>
  <si>
    <t>遺族年金や障害年金等は課税される収入ではありませんので、下記から該当するものを選択してください。</t>
    <rPh sb="0" eb="2">
      <t>イゾク</t>
    </rPh>
    <rPh sb="2" eb="4">
      <t>ネンキン</t>
    </rPh>
    <rPh sb="5" eb="7">
      <t>ショウガイ</t>
    </rPh>
    <rPh sb="7" eb="8">
      <t>ネン</t>
    </rPh>
    <rPh sb="8" eb="9">
      <t>キン</t>
    </rPh>
    <rPh sb="9" eb="10">
      <t>トウ</t>
    </rPh>
    <rPh sb="11" eb="13">
      <t>カゼイ</t>
    </rPh>
    <rPh sb="16" eb="18">
      <t>シュウニュウ</t>
    </rPh>
    <rPh sb="28" eb="30">
      <t>カキ</t>
    </rPh>
    <rPh sb="32" eb="34">
      <t>ガイトウ</t>
    </rPh>
    <rPh sb="39" eb="41">
      <t>センタク</t>
    </rPh>
    <phoneticPr fontId="37"/>
  </si>
  <si>
    <t>住所・生年月日等の修正はありませんか？</t>
    <rPh sb="0" eb="2">
      <t>ジュウショ</t>
    </rPh>
    <rPh sb="3" eb="5">
      <t>セイネン</t>
    </rPh>
    <rPh sb="5" eb="7">
      <t>ガッピ</t>
    </rPh>
    <rPh sb="7" eb="8">
      <t>トウ</t>
    </rPh>
    <rPh sb="9" eb="11">
      <t>シュウセイ</t>
    </rPh>
    <phoneticPr fontId="37"/>
  </si>
  <si>
    <t>住所・生年月日等を修正する方はこちら</t>
    <rPh sb="0" eb="2">
      <t>ジュウショ</t>
    </rPh>
    <rPh sb="3" eb="5">
      <t>セイネン</t>
    </rPh>
    <rPh sb="5" eb="7">
      <t>ガッピ</t>
    </rPh>
    <rPh sb="7" eb="8">
      <t>トウ</t>
    </rPh>
    <rPh sb="9" eb="11">
      <t>シュウセイ</t>
    </rPh>
    <rPh sb="13" eb="14">
      <t>カタ</t>
    </rPh>
    <phoneticPr fontId="37"/>
  </si>
  <si>
    <t>住所・生年月日等の入力に戻る場合はこちら</t>
    <rPh sb="0" eb="2">
      <t>ジュウショ</t>
    </rPh>
    <rPh sb="3" eb="5">
      <t>セイネン</t>
    </rPh>
    <rPh sb="5" eb="7">
      <t>ガッピ</t>
    </rPh>
    <rPh sb="7" eb="8">
      <t>トウ</t>
    </rPh>
    <rPh sb="9" eb="11">
      <t>ニュウリョク</t>
    </rPh>
    <rPh sb="12" eb="13">
      <t>モド</t>
    </rPh>
    <rPh sb="14" eb="16">
      <t>バアイ</t>
    </rPh>
    <phoneticPr fontId="37"/>
  </si>
  <si>
    <t>住所・生年月日等の入力をする方はこちら</t>
    <rPh sb="0" eb="2">
      <t>ジュウショ</t>
    </rPh>
    <rPh sb="3" eb="5">
      <t>セイネン</t>
    </rPh>
    <rPh sb="5" eb="7">
      <t>ガッピ</t>
    </rPh>
    <rPh sb="7" eb="8">
      <t>トウ</t>
    </rPh>
    <rPh sb="9" eb="11">
      <t>ニュウリョク</t>
    </rPh>
    <rPh sb="14" eb="15">
      <t>カタ</t>
    </rPh>
    <phoneticPr fontId="37"/>
  </si>
  <si>
    <r>
      <rPr>
        <b/>
        <sz val="11"/>
        <rFont val="Meiryo UI"/>
        <family val="3"/>
        <charset val="128"/>
      </rPr>
      <t>扶養親族が特別障害者</t>
    </r>
    <r>
      <rPr>
        <sz val="11"/>
        <rFont val="Meiryo UI"/>
        <family val="3"/>
        <charset val="128"/>
      </rPr>
      <t>であなたやあなたと生計を一にしている親族と同居の場合は同居を選択してください。</t>
    </r>
    <rPh sb="0" eb="2">
      <t>フヨウ</t>
    </rPh>
    <rPh sb="2" eb="4">
      <t>シンゾク</t>
    </rPh>
    <rPh sb="5" eb="7">
      <t>トクベツ</t>
    </rPh>
    <rPh sb="7" eb="10">
      <t>ショウガイシャ</t>
    </rPh>
    <rPh sb="19" eb="21">
      <t>セイケイ</t>
    </rPh>
    <rPh sb="22" eb="23">
      <t>イツ</t>
    </rPh>
    <rPh sb="28" eb="30">
      <t>シンゾク</t>
    </rPh>
    <rPh sb="31" eb="33">
      <t>ドウキョ</t>
    </rPh>
    <rPh sb="34" eb="36">
      <t>バアイ</t>
    </rPh>
    <rPh sb="37" eb="39">
      <t>ドウキョ</t>
    </rPh>
    <rPh sb="40" eb="42">
      <t>センタク</t>
    </rPh>
    <phoneticPr fontId="37"/>
  </si>
  <si>
    <r>
      <t>扶養親族が特別障害者</t>
    </r>
    <r>
      <rPr>
        <sz val="11"/>
        <rFont val="Meiryo UI"/>
        <family val="3"/>
        <charset val="128"/>
      </rPr>
      <t>であなたやあなたと生計を一にしている親族と同居の場合は同居を選択してください。</t>
    </r>
    <rPh sb="0" eb="2">
      <t>フヨウ</t>
    </rPh>
    <rPh sb="2" eb="4">
      <t>シンゾク</t>
    </rPh>
    <rPh sb="5" eb="7">
      <t>トクベツ</t>
    </rPh>
    <rPh sb="7" eb="10">
      <t>ショウガイシャ</t>
    </rPh>
    <rPh sb="19" eb="21">
      <t>セイケイ</t>
    </rPh>
    <rPh sb="22" eb="23">
      <t>イツ</t>
    </rPh>
    <rPh sb="28" eb="30">
      <t>シンゾク</t>
    </rPh>
    <rPh sb="31" eb="33">
      <t>ドウキョ</t>
    </rPh>
    <rPh sb="34" eb="36">
      <t>バアイ</t>
    </rPh>
    <rPh sb="37" eb="39">
      <t>ドウキョ</t>
    </rPh>
    <rPh sb="40" eb="42">
      <t>センタク</t>
    </rPh>
    <phoneticPr fontId="37"/>
  </si>
  <si>
    <r>
      <rPr>
        <b/>
        <sz val="12"/>
        <color theme="1"/>
        <rFont val="Meiryo UI"/>
        <family val="3"/>
        <charset val="128"/>
      </rPr>
      <t>ひとり親</t>
    </r>
    <r>
      <rPr>
        <sz val="12"/>
        <color theme="1"/>
        <rFont val="Meiryo UI"/>
        <family val="3"/>
        <charset val="128"/>
      </rPr>
      <t>とは・・・</t>
    </r>
    <phoneticPr fontId="37"/>
  </si>
  <si>
    <r>
      <rPr>
        <b/>
        <sz val="12"/>
        <color theme="1"/>
        <rFont val="Meiryo UI"/>
        <family val="3"/>
        <charset val="128"/>
      </rPr>
      <t>寡婦</t>
    </r>
    <r>
      <rPr>
        <sz val="12"/>
        <color theme="1"/>
        <rFont val="Meiryo UI"/>
        <family val="3"/>
        <charset val="128"/>
      </rPr>
      <t>とは・・・</t>
    </r>
    <phoneticPr fontId="37"/>
  </si>
  <si>
    <t>全シート</t>
    <rPh sb="0" eb="1">
      <t>ゼン</t>
    </rPh>
    <phoneticPr fontId="37"/>
  </si>
  <si>
    <t>はじめにのシートへのリンクを「個人情報」と表記していましたが、「住所・生年月日」に修正しました。</t>
    <rPh sb="15" eb="17">
      <t>コジン</t>
    </rPh>
    <rPh sb="17" eb="19">
      <t>ジョウホウ</t>
    </rPh>
    <rPh sb="21" eb="23">
      <t>ヒョウキ</t>
    </rPh>
    <rPh sb="32" eb="34">
      <t>ジュウショ</t>
    </rPh>
    <rPh sb="35" eb="37">
      <t>セイネン</t>
    </rPh>
    <rPh sb="37" eb="39">
      <t>ガッピ</t>
    </rPh>
    <rPh sb="41" eb="43">
      <t>シュウセイ</t>
    </rPh>
    <phoneticPr fontId="37"/>
  </si>
  <si>
    <t>「個人情報」の表現は適切ではないと思い、修正。</t>
    <rPh sb="1" eb="3">
      <t>コジン</t>
    </rPh>
    <rPh sb="3" eb="5">
      <t>ジョウホウ</t>
    </rPh>
    <rPh sb="7" eb="9">
      <t>ヒョウゲン</t>
    </rPh>
    <rPh sb="10" eb="12">
      <t>テキセツ</t>
    </rPh>
    <rPh sb="17" eb="18">
      <t>オモ</t>
    </rPh>
    <rPh sb="20" eb="22">
      <t>シュウセイ</t>
    </rPh>
    <phoneticPr fontId="37"/>
  </si>
  <si>
    <t>提出前に印刷内容を十分に確認し、印刷後に修正する場合は手書きで加筆修正してください。</t>
    <rPh sb="0" eb="2">
      <t>テイシュツ</t>
    </rPh>
    <rPh sb="2" eb="3">
      <t>マエ</t>
    </rPh>
    <rPh sb="4" eb="6">
      <t>インサツ</t>
    </rPh>
    <rPh sb="6" eb="8">
      <t>ナイヨウ</t>
    </rPh>
    <rPh sb="9" eb="11">
      <t>ジュウブン</t>
    </rPh>
    <rPh sb="12" eb="14">
      <t>カクニン</t>
    </rPh>
    <rPh sb="16" eb="18">
      <t>インサツ</t>
    </rPh>
    <rPh sb="18" eb="19">
      <t>ゴ</t>
    </rPh>
    <rPh sb="20" eb="22">
      <t>シュウセイ</t>
    </rPh>
    <rPh sb="24" eb="26">
      <t>バアイ</t>
    </rPh>
    <rPh sb="27" eb="29">
      <t>テガ</t>
    </rPh>
    <rPh sb="31" eb="33">
      <t>カヒツ</t>
    </rPh>
    <rPh sb="33" eb="35">
      <t>シュウセイ</t>
    </rPh>
    <phoneticPr fontId="37"/>
  </si>
  <si>
    <t>セルフメディケーション補填額</t>
    <rPh sb="11" eb="13">
      <t>ホテン</t>
    </rPh>
    <rPh sb="13" eb="14">
      <t>ガク</t>
    </rPh>
    <phoneticPr fontId="37"/>
  </si>
  <si>
    <t>申告書</t>
    <rPh sb="0" eb="3">
      <t>シンコクショ</t>
    </rPh>
    <phoneticPr fontId="37"/>
  </si>
  <si>
    <t>セルフメディケーション税制の記載を「セルフメディ」から「セルフメディケーション」に変更。</t>
    <rPh sb="11" eb="13">
      <t>ゼイセイ</t>
    </rPh>
    <rPh sb="14" eb="16">
      <t>キサイ</t>
    </rPh>
    <rPh sb="41" eb="43">
      <t>ヘンコウ</t>
    </rPh>
    <phoneticPr fontId="37"/>
  </si>
  <si>
    <t>文字が小さくなるので、セルフメディにしていましたが、読める大きさなのでセルフメディケーションに修正しました。</t>
    <rPh sb="0" eb="2">
      <t>モジ</t>
    </rPh>
    <rPh sb="3" eb="4">
      <t>チイ</t>
    </rPh>
    <rPh sb="26" eb="27">
      <t>ヨ</t>
    </rPh>
    <rPh sb="29" eb="30">
      <t>オオ</t>
    </rPh>
    <rPh sb="47" eb="49">
      <t>シュウセイ</t>
    </rPh>
    <phoneticPr fontId="37"/>
  </si>
  <si>
    <t>D13,14,20,21</t>
    <phoneticPr fontId="37"/>
  </si>
  <si>
    <t>F14,21</t>
    <phoneticPr fontId="37"/>
  </si>
  <si>
    <t>C17,C24</t>
    <phoneticPr fontId="37"/>
  </si>
  <si>
    <t>F17,F24</t>
    <phoneticPr fontId="37"/>
  </si>
  <si>
    <t>D25</t>
    <phoneticPr fontId="37"/>
  </si>
  <si>
    <t>D26</t>
    <phoneticPr fontId="37"/>
  </si>
  <si>
    <t>D51</t>
    <phoneticPr fontId="37"/>
  </si>
  <si>
    <t>D52</t>
    <phoneticPr fontId="37"/>
  </si>
  <si>
    <t>添付</t>
    <rPh sb="0" eb="2">
      <t>テンプ</t>
    </rPh>
    <phoneticPr fontId="37"/>
  </si>
  <si>
    <t>入力内容に応じた必要な添付書類が表示されます。</t>
    <rPh sb="0" eb="2">
      <t>ニュウリョク</t>
    </rPh>
    <rPh sb="2" eb="4">
      <t>ナイヨウ</t>
    </rPh>
    <rPh sb="5" eb="6">
      <t>オウ</t>
    </rPh>
    <rPh sb="8" eb="10">
      <t>ヒツヨウ</t>
    </rPh>
    <rPh sb="11" eb="13">
      <t>テンプ</t>
    </rPh>
    <rPh sb="13" eb="15">
      <t>ショルイ</t>
    </rPh>
    <rPh sb="16" eb="18">
      <t>ヒョウジ</t>
    </rPh>
    <phoneticPr fontId="37"/>
  </si>
  <si>
    <t>C25</t>
    <phoneticPr fontId="37"/>
  </si>
  <si>
    <t>C2,C12</t>
    <phoneticPr fontId="37"/>
  </si>
  <si>
    <t>注意）分離所得がある場合は対応していません。</t>
    <phoneticPr fontId="37"/>
  </si>
  <si>
    <t>1)寄附金URLの追加。
2)医療費支払金額と補填金額の期間（1月から12月まで）を追加
3)国税庁医療費控除の明細書作成コーナーのURL追加</t>
    <rPh sb="2" eb="5">
      <t>キフキン</t>
    </rPh>
    <rPh sb="9" eb="11">
      <t>ツイカ</t>
    </rPh>
    <rPh sb="15" eb="18">
      <t>イリョウヒ</t>
    </rPh>
    <rPh sb="18" eb="20">
      <t>シハライ</t>
    </rPh>
    <rPh sb="20" eb="22">
      <t>キンガク</t>
    </rPh>
    <rPh sb="23" eb="25">
      <t>ホテン</t>
    </rPh>
    <rPh sb="25" eb="27">
      <t>キンガク</t>
    </rPh>
    <rPh sb="28" eb="30">
      <t>キカン</t>
    </rPh>
    <rPh sb="32" eb="33">
      <t>ガツ</t>
    </rPh>
    <rPh sb="37" eb="38">
      <t>ガツ</t>
    </rPh>
    <rPh sb="42" eb="44">
      <t>ツイカ</t>
    </rPh>
    <rPh sb="47" eb="50">
      <t>コクゼイチョウ</t>
    </rPh>
    <rPh sb="50" eb="53">
      <t>イリョウヒ</t>
    </rPh>
    <rPh sb="53" eb="55">
      <t>コウジョ</t>
    </rPh>
    <rPh sb="56" eb="59">
      <t>メイサイショ</t>
    </rPh>
    <rPh sb="59" eb="61">
      <t>サクセイ</t>
    </rPh>
    <rPh sb="69" eb="71">
      <t>ツイカ</t>
    </rPh>
    <phoneticPr fontId="37"/>
  </si>
  <si>
    <t>1)せっかくなので追加。
2)問い合わせが多い事項なので明確化しました。
3)前年の問合せより、医療費控除明細書の希望あり。個別で作成する必要ないので、国税庁のHPを参照</t>
    <rPh sb="9" eb="11">
      <t>ツイカ</t>
    </rPh>
    <rPh sb="15" eb="16">
      <t>ト</t>
    </rPh>
    <rPh sb="17" eb="18">
      <t>ア</t>
    </rPh>
    <rPh sb="21" eb="22">
      <t>オオ</t>
    </rPh>
    <rPh sb="23" eb="25">
      <t>ジコウ</t>
    </rPh>
    <rPh sb="28" eb="31">
      <t>メイカクカ</t>
    </rPh>
    <rPh sb="39" eb="41">
      <t>ゼンネン</t>
    </rPh>
    <rPh sb="42" eb="44">
      <t>トイアワ</t>
    </rPh>
    <rPh sb="48" eb="51">
      <t>イリョウヒ</t>
    </rPh>
    <rPh sb="51" eb="53">
      <t>コウジョ</t>
    </rPh>
    <rPh sb="53" eb="56">
      <t>メイサイショ</t>
    </rPh>
    <rPh sb="57" eb="59">
      <t>キボウ</t>
    </rPh>
    <rPh sb="62" eb="64">
      <t>コベツ</t>
    </rPh>
    <rPh sb="65" eb="67">
      <t>サクセイ</t>
    </rPh>
    <rPh sb="69" eb="71">
      <t>ヒツヨウ</t>
    </rPh>
    <rPh sb="76" eb="79">
      <t>コクゼイチョウ</t>
    </rPh>
    <rPh sb="83" eb="85">
      <t>サンショウ</t>
    </rPh>
    <phoneticPr fontId="37"/>
  </si>
  <si>
    <r>
      <t>あなたが</t>
    </r>
    <r>
      <rPr>
        <b/>
        <sz val="12"/>
        <rFont val="Meiryo UI"/>
        <family val="3"/>
        <charset val="128"/>
      </rPr>
      <t>寡婦</t>
    </r>
    <r>
      <rPr>
        <sz val="12"/>
        <rFont val="Meiryo UI"/>
        <family val="3"/>
        <charset val="128"/>
      </rPr>
      <t>に該当する場合に適用できます。寡婦控除を適用する場合に</t>
    </r>
    <r>
      <rPr>
        <sz val="12"/>
        <rFont val="ＭＳ 明朝"/>
        <family val="1"/>
        <charset val="128"/>
      </rPr>
      <t>□</t>
    </r>
    <r>
      <rPr>
        <sz val="12"/>
        <rFont val="Meiryo UI"/>
        <family val="3"/>
        <charset val="128"/>
      </rPr>
      <t>を</t>
    </r>
    <r>
      <rPr>
        <sz val="12"/>
        <rFont val="ＭＳ 明朝"/>
        <family val="1"/>
        <charset val="128"/>
      </rPr>
      <t>■</t>
    </r>
    <r>
      <rPr>
        <sz val="12"/>
        <rFont val="Meiryo UI"/>
        <family val="3"/>
        <charset val="128"/>
      </rPr>
      <t>にしてください。</t>
    </r>
    <rPh sb="4" eb="6">
      <t>カフ</t>
    </rPh>
    <rPh sb="7" eb="9">
      <t>ガイトウ</t>
    </rPh>
    <rPh sb="11" eb="13">
      <t>バアイ</t>
    </rPh>
    <rPh sb="14" eb="16">
      <t>テキヨウ</t>
    </rPh>
    <rPh sb="21" eb="23">
      <t>カフ</t>
    </rPh>
    <phoneticPr fontId="37"/>
  </si>
  <si>
    <r>
      <t>あなたが</t>
    </r>
    <r>
      <rPr>
        <b/>
        <sz val="12"/>
        <rFont val="Meiryo UI"/>
        <family val="3"/>
        <charset val="128"/>
      </rPr>
      <t>ひとり親</t>
    </r>
    <r>
      <rPr>
        <sz val="12"/>
        <rFont val="Meiryo UI"/>
        <family val="3"/>
        <charset val="128"/>
      </rPr>
      <t>に該当する場合に適用できます。ひとり親控除を適用する場合に</t>
    </r>
    <r>
      <rPr>
        <sz val="12"/>
        <rFont val="ＭＳ 明朝"/>
        <family val="1"/>
        <charset val="128"/>
      </rPr>
      <t>□</t>
    </r>
    <r>
      <rPr>
        <sz val="12"/>
        <rFont val="Meiryo UI"/>
        <family val="3"/>
        <charset val="128"/>
      </rPr>
      <t>を</t>
    </r>
    <r>
      <rPr>
        <sz val="12"/>
        <rFont val="ＭＳ 明朝"/>
        <family val="1"/>
        <charset val="128"/>
      </rPr>
      <t>■</t>
    </r>
    <r>
      <rPr>
        <sz val="12"/>
        <rFont val="Meiryo UI"/>
        <family val="3"/>
        <charset val="128"/>
      </rPr>
      <t>にしてください。</t>
    </r>
    <rPh sb="7" eb="8">
      <t>オヤ</t>
    </rPh>
    <rPh sb="9" eb="11">
      <t>ガイトウ</t>
    </rPh>
    <rPh sb="13" eb="15">
      <t>バアイ</t>
    </rPh>
    <rPh sb="16" eb="18">
      <t>テキヨウ</t>
    </rPh>
    <rPh sb="26" eb="27">
      <t>オヤ</t>
    </rPh>
    <rPh sb="27" eb="29">
      <t>コウジョ</t>
    </rPh>
    <rPh sb="30" eb="32">
      <t>テキヨウ</t>
    </rPh>
    <rPh sb="34" eb="36">
      <t>バアイ</t>
    </rPh>
    <phoneticPr fontId="37"/>
  </si>
  <si>
    <t>ver.2.0.1</t>
    <phoneticPr fontId="37"/>
  </si>
  <si>
    <t>給与・年金
計算用資料
申告書</t>
    <rPh sb="0" eb="2">
      <t>キュウヨ</t>
    </rPh>
    <rPh sb="3" eb="5">
      <t>ネンキン</t>
    </rPh>
    <phoneticPr fontId="37"/>
  </si>
  <si>
    <t>「公的年金収入の支払金額が分からないとき～」の文言やセルを削除。
上記に伴い、関連するセルの計算式から公的年金収入不明時の取り扱い文言を削除</t>
    <rPh sb="1" eb="3">
      <t>コウテキ</t>
    </rPh>
    <rPh sb="3" eb="5">
      <t>ネンキン</t>
    </rPh>
    <rPh sb="5" eb="7">
      <t>シュウニュウ</t>
    </rPh>
    <rPh sb="8" eb="10">
      <t>シハライ</t>
    </rPh>
    <rPh sb="10" eb="12">
      <t>キンガク</t>
    </rPh>
    <rPh sb="13" eb="14">
      <t>ワ</t>
    </rPh>
    <rPh sb="23" eb="25">
      <t>モンゴン</t>
    </rPh>
    <rPh sb="29" eb="31">
      <t>サクジョ</t>
    </rPh>
    <rPh sb="33" eb="35">
      <t>ジョウキ</t>
    </rPh>
    <rPh sb="36" eb="37">
      <t>トモナ</t>
    </rPh>
    <rPh sb="39" eb="41">
      <t>カンレン</t>
    </rPh>
    <rPh sb="46" eb="49">
      <t>ケイサンシキ</t>
    </rPh>
    <rPh sb="51" eb="53">
      <t>コウテキ</t>
    </rPh>
    <rPh sb="53" eb="55">
      <t>ネンキン</t>
    </rPh>
    <rPh sb="55" eb="57">
      <t>シュウニュウ</t>
    </rPh>
    <rPh sb="57" eb="59">
      <t>フメイ</t>
    </rPh>
    <rPh sb="59" eb="60">
      <t>ジ</t>
    </rPh>
    <rPh sb="61" eb="62">
      <t>ト</t>
    </rPh>
    <rPh sb="63" eb="64">
      <t>アツカ</t>
    </rPh>
    <rPh sb="65" eb="67">
      <t>モンゴン</t>
    </rPh>
    <rPh sb="68" eb="70">
      <t>サクジョ</t>
    </rPh>
    <phoneticPr fontId="37"/>
  </si>
  <si>
    <t>公的年金収入の支払金額が不明な人用に不明時に選択するボックスを作成していたが、正しく使用した者がいなかった。また、計算式が複雑になる一因になっており、改修を困難にする可能性があったため削除しました。</t>
    <rPh sb="0" eb="2">
      <t>コウテキ</t>
    </rPh>
    <rPh sb="2" eb="4">
      <t>ネンキン</t>
    </rPh>
    <rPh sb="4" eb="6">
      <t>シュウニュウ</t>
    </rPh>
    <rPh sb="7" eb="9">
      <t>シハライ</t>
    </rPh>
    <rPh sb="9" eb="11">
      <t>キンガク</t>
    </rPh>
    <rPh sb="12" eb="14">
      <t>フメイ</t>
    </rPh>
    <rPh sb="15" eb="17">
      <t>ヒトヨウ</t>
    </rPh>
    <rPh sb="18" eb="20">
      <t>フメイ</t>
    </rPh>
    <rPh sb="20" eb="21">
      <t>ジ</t>
    </rPh>
    <rPh sb="22" eb="24">
      <t>センタク</t>
    </rPh>
    <rPh sb="31" eb="33">
      <t>サクセイ</t>
    </rPh>
    <rPh sb="39" eb="40">
      <t>タダ</t>
    </rPh>
    <rPh sb="42" eb="44">
      <t>シヨウ</t>
    </rPh>
    <rPh sb="46" eb="47">
      <t>モノ</t>
    </rPh>
    <rPh sb="57" eb="60">
      <t>ケイサンシキ</t>
    </rPh>
    <rPh sb="61" eb="63">
      <t>フクザツ</t>
    </rPh>
    <rPh sb="66" eb="68">
      <t>イチイン</t>
    </rPh>
    <rPh sb="75" eb="77">
      <t>カイシュウ</t>
    </rPh>
    <rPh sb="78" eb="80">
      <t>コンナン</t>
    </rPh>
    <rPh sb="83" eb="86">
      <t>カノウセイ</t>
    </rPh>
    <rPh sb="92" eb="94">
      <t>サクジョ</t>
    </rPh>
    <phoneticPr fontId="37"/>
  </si>
  <si>
    <t>■を選択すると、申告書収入欄の上部（申告書のAM15）に「※公的年金収入は源泉徴収票の通り」を表示。公的年金収入・所得欄に文字表示させると計算式を組むのが手間なのでこのような対応。
公的年金所得不明のため、申告書の所得金額が計算できなくなるので"市で計算します"の表示。医療費控除の計算もできなくなるので、医療費控除・控除合計額も"市で計算します"の表示。
申告書ライン72,73は、公的年金収入不明に対応するため、医療費・セルフメディケーション両方を申告書に表示させるように変更。
→R3.11.4削除（理由は改訂履歴参照）</t>
    <rPh sb="18" eb="21">
      <t>シンコクショ</t>
    </rPh>
    <rPh sb="50" eb="52">
      <t>コウテキ</t>
    </rPh>
    <rPh sb="52" eb="54">
      <t>ネンキン</t>
    </rPh>
    <rPh sb="54" eb="56">
      <t>シュウニュウ</t>
    </rPh>
    <rPh sb="57" eb="59">
      <t>ショトク</t>
    </rPh>
    <rPh sb="59" eb="60">
      <t>ラン</t>
    </rPh>
    <rPh sb="61" eb="63">
      <t>モジ</t>
    </rPh>
    <rPh sb="63" eb="65">
      <t>ヒョウジ</t>
    </rPh>
    <rPh sb="69" eb="72">
      <t>ケイサンシキ</t>
    </rPh>
    <rPh sb="73" eb="74">
      <t>ク</t>
    </rPh>
    <rPh sb="77" eb="79">
      <t>テマ</t>
    </rPh>
    <rPh sb="87" eb="89">
      <t>タイオウ</t>
    </rPh>
    <rPh sb="91" eb="93">
      <t>コウテキ</t>
    </rPh>
    <rPh sb="93" eb="95">
      <t>ネンキン</t>
    </rPh>
    <rPh sb="95" eb="97">
      <t>ショトク</t>
    </rPh>
    <rPh sb="97" eb="99">
      <t>フメイ</t>
    </rPh>
    <rPh sb="103" eb="105">
      <t>シンコク</t>
    </rPh>
    <rPh sb="105" eb="106">
      <t>ショ</t>
    </rPh>
    <rPh sb="107" eb="109">
      <t>ショトク</t>
    </rPh>
    <rPh sb="109" eb="111">
      <t>キンガク</t>
    </rPh>
    <rPh sb="112" eb="114">
      <t>ケイサン</t>
    </rPh>
    <rPh sb="123" eb="124">
      <t>シ</t>
    </rPh>
    <rPh sb="125" eb="127">
      <t>ケイサン</t>
    </rPh>
    <rPh sb="132" eb="134">
      <t>ヒョウジ</t>
    </rPh>
    <rPh sb="135" eb="138">
      <t>イリョウヒ</t>
    </rPh>
    <rPh sb="138" eb="140">
      <t>コウジョ</t>
    </rPh>
    <rPh sb="141" eb="143">
      <t>ケイサン</t>
    </rPh>
    <rPh sb="153" eb="156">
      <t>イリョウヒ</t>
    </rPh>
    <rPh sb="156" eb="158">
      <t>コウジョ</t>
    </rPh>
    <rPh sb="159" eb="161">
      <t>コウジョ</t>
    </rPh>
    <rPh sb="161" eb="163">
      <t>ゴウケイ</t>
    </rPh>
    <rPh sb="163" eb="164">
      <t>ガク</t>
    </rPh>
    <rPh sb="166" eb="167">
      <t>シ</t>
    </rPh>
    <rPh sb="168" eb="170">
      <t>ケイサン</t>
    </rPh>
    <rPh sb="175" eb="177">
      <t>ヒョウジ</t>
    </rPh>
    <rPh sb="179" eb="182">
      <t>シンコクショ</t>
    </rPh>
    <rPh sb="192" eb="194">
      <t>コウテキ</t>
    </rPh>
    <rPh sb="194" eb="196">
      <t>ネンキン</t>
    </rPh>
    <rPh sb="196" eb="198">
      <t>シュウニュウ</t>
    </rPh>
    <rPh sb="198" eb="200">
      <t>フメイ</t>
    </rPh>
    <rPh sb="201" eb="203">
      <t>タイオウ</t>
    </rPh>
    <rPh sb="208" eb="211">
      <t>イリョウヒ</t>
    </rPh>
    <rPh sb="223" eb="225">
      <t>リョウホウ</t>
    </rPh>
    <rPh sb="226" eb="229">
      <t>シンコクショ</t>
    </rPh>
    <rPh sb="230" eb="232">
      <t>ヒョウジ</t>
    </rPh>
    <rPh sb="238" eb="240">
      <t>ヘンコウ</t>
    </rPh>
    <rPh sb="250" eb="252">
      <t>サクジョ</t>
    </rPh>
    <rPh sb="253" eb="255">
      <t>リユウ</t>
    </rPh>
    <rPh sb="256" eb="258">
      <t>カイテイ</t>
    </rPh>
    <rPh sb="258" eb="260">
      <t>リレキ</t>
    </rPh>
    <rPh sb="260" eb="262">
      <t>サンショウ</t>
    </rPh>
    <phoneticPr fontId="37"/>
  </si>
  <si>
    <t>円</t>
    <rPh sb="0" eb="1">
      <t>エン</t>
    </rPh>
    <phoneticPr fontId="37"/>
  </si>
  <si>
    <t>公的年金収入の入力省略した人は、市で計算しますの表示→R3.11.4削除</t>
    <rPh sb="0" eb="2">
      <t>コウテキ</t>
    </rPh>
    <rPh sb="2" eb="4">
      <t>ネンキン</t>
    </rPh>
    <rPh sb="4" eb="6">
      <t>シュウニュウ</t>
    </rPh>
    <rPh sb="7" eb="9">
      <t>ニュウリョク</t>
    </rPh>
    <rPh sb="9" eb="11">
      <t>ショウリャク</t>
    </rPh>
    <rPh sb="13" eb="14">
      <t>ヒト</t>
    </rPh>
    <rPh sb="16" eb="17">
      <t>シ</t>
    </rPh>
    <rPh sb="18" eb="20">
      <t>ケイサン</t>
    </rPh>
    <rPh sb="24" eb="26">
      <t>ヒョウジ</t>
    </rPh>
    <rPh sb="34" eb="36">
      <t>サクジョ</t>
    </rPh>
    <phoneticPr fontId="37"/>
  </si>
  <si>
    <t>公的年金で収入額不明を選択した人には「市で計算します」の表示→R3.11.4削除</t>
    <rPh sb="0" eb="2">
      <t>コウテキ</t>
    </rPh>
    <rPh sb="2" eb="4">
      <t>ネンキン</t>
    </rPh>
    <rPh sb="5" eb="7">
      <t>シュウニュウ</t>
    </rPh>
    <rPh sb="7" eb="8">
      <t>ガク</t>
    </rPh>
    <rPh sb="8" eb="10">
      <t>フメイ</t>
    </rPh>
    <rPh sb="11" eb="13">
      <t>センタク</t>
    </rPh>
    <rPh sb="15" eb="16">
      <t>ヒト</t>
    </rPh>
    <rPh sb="19" eb="20">
      <t>シ</t>
    </rPh>
    <rPh sb="21" eb="23">
      <t>ケイサン</t>
    </rPh>
    <rPh sb="28" eb="30">
      <t>ヒョウジ</t>
    </rPh>
    <rPh sb="38" eb="40">
      <t>サクジョ</t>
    </rPh>
    <phoneticPr fontId="37"/>
  </si>
  <si>
    <t>ふるさと納税の試算</t>
    <rPh sb="4" eb="6">
      <t>ノウゼイ</t>
    </rPh>
    <rPh sb="7" eb="9">
      <t>シサン</t>
    </rPh>
    <phoneticPr fontId="37"/>
  </si>
  <si>
    <t>旧生命</t>
    <rPh sb="0" eb="1">
      <t>ｷｭｳ</t>
    </rPh>
    <rPh sb="1" eb="3">
      <t>ｾｲﾒｲ</t>
    </rPh>
    <phoneticPr fontId="2" type="noConversion"/>
  </si>
  <si>
    <t>旧個人</t>
    <rPh sb="0" eb="1">
      <t>ｷｭｳ</t>
    </rPh>
    <rPh sb="1" eb="3">
      <t>ｺｼﾞﾝ</t>
    </rPh>
    <phoneticPr fontId="2" type="noConversion"/>
  </si>
  <si>
    <t>新生命</t>
    <rPh sb="0" eb="1">
      <t>ｼﾝ</t>
    </rPh>
    <rPh sb="1" eb="3">
      <t>ｾｲﾒｲ</t>
    </rPh>
    <phoneticPr fontId="2" type="noConversion"/>
  </si>
  <si>
    <t>新個人</t>
    <rPh sb="0" eb="1">
      <t>ｼﾝ</t>
    </rPh>
    <rPh sb="1" eb="3">
      <t>ｺｼﾞﾝ</t>
    </rPh>
    <phoneticPr fontId="2" type="noConversion"/>
  </si>
  <si>
    <t>介護</t>
    <rPh sb="0" eb="2">
      <t>ｶｲｺﾞ</t>
    </rPh>
    <phoneticPr fontId="2" type="noConversion"/>
  </si>
  <si>
    <t>生命　新+旧 控除額</t>
    <rPh sb="0" eb="2">
      <t>ｾｲﾒｲ</t>
    </rPh>
    <rPh sb="3" eb="4">
      <t>ｼﾝ</t>
    </rPh>
    <rPh sb="5" eb="6">
      <t>ｷｭｳ</t>
    </rPh>
    <rPh sb="7" eb="9">
      <t>ｺｳｼﾞｮ</t>
    </rPh>
    <rPh sb="9" eb="10">
      <t>ｶﾞｸ</t>
    </rPh>
    <phoneticPr fontId="2" type="noConversion"/>
  </si>
  <si>
    <t>年金　新+旧　控除額</t>
    <rPh sb="0" eb="2">
      <t>ﾈﾝｷﾝ</t>
    </rPh>
    <rPh sb="3" eb="4">
      <t>ｼﾝ</t>
    </rPh>
    <rPh sb="5" eb="6">
      <t>ｷｭｳ</t>
    </rPh>
    <rPh sb="7" eb="9">
      <t>ｺｳｼﾞｮ</t>
    </rPh>
    <rPh sb="9" eb="10">
      <t>ｶﾞｸ</t>
    </rPh>
    <phoneticPr fontId="2" type="noConversion"/>
  </si>
  <si>
    <t>最終控除額</t>
    <rPh sb="0" eb="2">
      <t>ｻｲｼｭｳ</t>
    </rPh>
    <rPh sb="2" eb="4">
      <t>ｺｳｼﾞｮ</t>
    </rPh>
    <rPh sb="4" eb="5">
      <t>ｶﾞｸ</t>
    </rPh>
    <phoneticPr fontId="2" type="noConversion"/>
  </si>
  <si>
    <t>性別</t>
    <rPh sb="0" eb="2">
      <t>セイベツ</t>
    </rPh>
    <phoneticPr fontId="37"/>
  </si>
  <si>
    <t>区分</t>
    <rPh sb="0" eb="2">
      <t>クブン</t>
    </rPh>
    <phoneticPr fontId="37"/>
  </si>
  <si>
    <t>48万円超50万円未満</t>
    <rPh sb="2" eb="4">
      <t>マンエン</t>
    </rPh>
    <rPh sb="4" eb="5">
      <t>チョウ</t>
    </rPh>
    <rPh sb="7" eb="9">
      <t>マンエン</t>
    </rPh>
    <rPh sb="9" eb="11">
      <t>ミマン</t>
    </rPh>
    <phoneticPr fontId="37"/>
  </si>
  <si>
    <t>50万円以上55万円未満</t>
    <rPh sb="2" eb="4">
      <t>マンエン</t>
    </rPh>
    <rPh sb="4" eb="6">
      <t>イジョウ</t>
    </rPh>
    <rPh sb="8" eb="10">
      <t>マンエン</t>
    </rPh>
    <rPh sb="10" eb="12">
      <t>ミマン</t>
    </rPh>
    <phoneticPr fontId="37"/>
  </si>
  <si>
    <t>55万円以上95万円以下</t>
    <rPh sb="2" eb="4">
      <t>マンエン</t>
    </rPh>
    <rPh sb="4" eb="6">
      <t>イジョウ</t>
    </rPh>
    <rPh sb="8" eb="10">
      <t>マンエン</t>
    </rPh>
    <rPh sb="10" eb="12">
      <t>イカ</t>
    </rPh>
    <phoneticPr fontId="37"/>
  </si>
  <si>
    <t>95万円超100万円以下</t>
    <rPh sb="2" eb="4">
      <t>マンエン</t>
    </rPh>
    <rPh sb="4" eb="5">
      <t>チョウ</t>
    </rPh>
    <rPh sb="8" eb="10">
      <t>マンエン</t>
    </rPh>
    <rPh sb="10" eb="12">
      <t>イカ</t>
    </rPh>
    <phoneticPr fontId="37"/>
  </si>
  <si>
    <t>扶養控除1</t>
    <rPh sb="0" eb="2">
      <t>フヨウ</t>
    </rPh>
    <rPh sb="2" eb="4">
      <t>コウジョ</t>
    </rPh>
    <phoneticPr fontId="37"/>
  </si>
  <si>
    <t>扶養控除2</t>
    <rPh sb="0" eb="2">
      <t>フヨウ</t>
    </rPh>
    <rPh sb="2" eb="4">
      <t>コウジョ</t>
    </rPh>
    <phoneticPr fontId="37"/>
  </si>
  <si>
    <t>扶養控除3</t>
    <rPh sb="0" eb="2">
      <t>フヨウ</t>
    </rPh>
    <rPh sb="2" eb="4">
      <t>コウジョ</t>
    </rPh>
    <phoneticPr fontId="37"/>
  </si>
  <si>
    <t>扶養控除4</t>
    <rPh sb="0" eb="2">
      <t>フヨウ</t>
    </rPh>
    <rPh sb="2" eb="4">
      <t>コウジョ</t>
    </rPh>
    <phoneticPr fontId="37"/>
  </si>
  <si>
    <t>寄附金所得控除</t>
    <rPh sb="0" eb="3">
      <t>キフキン</t>
    </rPh>
    <rPh sb="3" eb="5">
      <t>ショトク</t>
    </rPh>
    <rPh sb="5" eb="7">
      <t>コウジョ</t>
    </rPh>
    <phoneticPr fontId="37"/>
  </si>
  <si>
    <t>所得税控除合計（寄附金除く）</t>
    <rPh sb="0" eb="3">
      <t>ショトクゼイ</t>
    </rPh>
    <rPh sb="3" eb="5">
      <t>コウジョ</t>
    </rPh>
    <rPh sb="5" eb="7">
      <t>ゴウケイ</t>
    </rPh>
    <rPh sb="8" eb="11">
      <t>キフキン</t>
    </rPh>
    <rPh sb="11" eb="12">
      <t>ノゾ</t>
    </rPh>
    <phoneticPr fontId="37"/>
  </si>
  <si>
    <t>所得税控除合計（最大寄付額含む）</t>
    <rPh sb="0" eb="3">
      <t>ショトクゼイ</t>
    </rPh>
    <rPh sb="3" eb="5">
      <t>コウジョ</t>
    </rPh>
    <rPh sb="5" eb="7">
      <t>ゴウケイ</t>
    </rPh>
    <rPh sb="8" eb="10">
      <t>サイダイ</t>
    </rPh>
    <rPh sb="10" eb="12">
      <t>キフ</t>
    </rPh>
    <rPh sb="12" eb="13">
      <t>ガク</t>
    </rPh>
    <rPh sb="13" eb="14">
      <t>フク</t>
    </rPh>
    <phoneticPr fontId="37"/>
  </si>
  <si>
    <t>人的控除差</t>
    <rPh sb="0" eb="2">
      <t>ジンテキ</t>
    </rPh>
    <rPh sb="2" eb="4">
      <t>コウジョ</t>
    </rPh>
    <rPh sb="4" eb="5">
      <t>サ</t>
    </rPh>
    <phoneticPr fontId="37"/>
  </si>
  <si>
    <t>計</t>
    <rPh sb="0" eb="1">
      <t>ケイ</t>
    </rPh>
    <phoneticPr fontId="37"/>
  </si>
  <si>
    <t>障害者控除</t>
    <rPh sb="0" eb="3">
      <t>ショウガイシャ</t>
    </rPh>
    <rPh sb="3" eb="5">
      <t>コウジョ</t>
    </rPh>
    <phoneticPr fontId="82"/>
  </si>
  <si>
    <t>普通</t>
    <rPh sb="0" eb="2">
      <t>フツウ</t>
    </rPh>
    <phoneticPr fontId="82"/>
  </si>
  <si>
    <t>特別</t>
    <rPh sb="0" eb="2">
      <t>トクベツ</t>
    </rPh>
    <phoneticPr fontId="82"/>
  </si>
  <si>
    <t>同居特別</t>
    <rPh sb="0" eb="2">
      <t>ドウキョ</t>
    </rPh>
    <rPh sb="2" eb="4">
      <t>トクベツ</t>
    </rPh>
    <phoneticPr fontId="82"/>
  </si>
  <si>
    <t>220,000だが、特別+同居で計算するようにした。同特1人だと特別1+同居特別1でカウント</t>
    <rPh sb="10" eb="12">
      <t>トクベツ</t>
    </rPh>
    <rPh sb="13" eb="15">
      <t>ドウキョ</t>
    </rPh>
    <rPh sb="16" eb="18">
      <t>ケイサン</t>
    </rPh>
    <rPh sb="26" eb="28">
      <t>ドウトク</t>
    </rPh>
    <rPh sb="29" eb="30">
      <t>ニン</t>
    </rPh>
    <rPh sb="32" eb="34">
      <t>トクベツ</t>
    </rPh>
    <rPh sb="36" eb="38">
      <t>ドウキョ</t>
    </rPh>
    <rPh sb="38" eb="40">
      <t>トクベツ</t>
    </rPh>
    <phoneticPr fontId="37"/>
  </si>
  <si>
    <t>寡婦・ひとり親</t>
    <rPh sb="0" eb="2">
      <t>カフ</t>
    </rPh>
    <rPh sb="6" eb="7">
      <t>オヤ</t>
    </rPh>
    <phoneticPr fontId="82"/>
  </si>
  <si>
    <t>寡婦・男性のひとり親</t>
    <phoneticPr fontId="82"/>
  </si>
  <si>
    <t>女性のひとり親</t>
    <phoneticPr fontId="82"/>
  </si>
  <si>
    <t>勤労学生</t>
    <rPh sb="0" eb="2">
      <t>キンロウ</t>
    </rPh>
    <rPh sb="2" eb="4">
      <t>ガクセイ</t>
    </rPh>
    <phoneticPr fontId="82"/>
  </si>
  <si>
    <t>配偶者控除</t>
    <rPh sb="0" eb="3">
      <t>ハイグウシャ</t>
    </rPh>
    <rPh sb="3" eb="5">
      <t>コウジョ</t>
    </rPh>
    <phoneticPr fontId="82"/>
  </si>
  <si>
    <t>一般（900万円以下）</t>
    <rPh sb="0" eb="2">
      <t>イッパン</t>
    </rPh>
    <rPh sb="6" eb="8">
      <t>マンエン</t>
    </rPh>
    <rPh sb="8" eb="10">
      <t>イカ</t>
    </rPh>
    <phoneticPr fontId="82"/>
  </si>
  <si>
    <t>一般（900万円超950万円以下）</t>
    <rPh sb="0" eb="2">
      <t>イッパン</t>
    </rPh>
    <rPh sb="6" eb="8">
      <t>マンエン</t>
    </rPh>
    <rPh sb="8" eb="9">
      <t>チョウ</t>
    </rPh>
    <rPh sb="12" eb="16">
      <t>マンエンイカ</t>
    </rPh>
    <phoneticPr fontId="82"/>
  </si>
  <si>
    <t>一般（950万円超1000万円以下）</t>
    <rPh sb="0" eb="2">
      <t>イッパン</t>
    </rPh>
    <rPh sb="6" eb="8">
      <t>マンエン</t>
    </rPh>
    <rPh sb="8" eb="9">
      <t>チョウ</t>
    </rPh>
    <rPh sb="13" eb="15">
      <t>マンエン</t>
    </rPh>
    <rPh sb="15" eb="17">
      <t>イカ</t>
    </rPh>
    <phoneticPr fontId="37"/>
  </si>
  <si>
    <t>老人（900万円以下）</t>
    <rPh sb="0" eb="2">
      <t>ロウジン</t>
    </rPh>
    <phoneticPr fontId="82"/>
  </si>
  <si>
    <t>老人（900万円超950万円以下）</t>
    <phoneticPr fontId="37"/>
  </si>
  <si>
    <t>老人（950万円超1000万円以下）</t>
    <phoneticPr fontId="37"/>
  </si>
  <si>
    <t>48万円超50万円未満（900万円以下）</t>
    <rPh sb="2" eb="4">
      <t>マンエン</t>
    </rPh>
    <rPh sb="4" eb="5">
      <t>チョウ</t>
    </rPh>
    <rPh sb="7" eb="9">
      <t>マンエン</t>
    </rPh>
    <rPh sb="9" eb="11">
      <t>ミマン</t>
    </rPh>
    <rPh sb="15" eb="17">
      <t>マンエン</t>
    </rPh>
    <rPh sb="17" eb="19">
      <t>イカ</t>
    </rPh>
    <phoneticPr fontId="37"/>
  </si>
  <si>
    <t>50万円以上55万円未満（900万円以下）</t>
    <rPh sb="2" eb="4">
      <t>マンエン</t>
    </rPh>
    <rPh sb="4" eb="6">
      <t>イジョウ</t>
    </rPh>
    <rPh sb="8" eb="10">
      <t>マンエン</t>
    </rPh>
    <rPh sb="10" eb="12">
      <t>ミマン</t>
    </rPh>
    <rPh sb="16" eb="18">
      <t>マンエン</t>
    </rPh>
    <rPh sb="18" eb="20">
      <t>イカ</t>
    </rPh>
    <phoneticPr fontId="37"/>
  </si>
  <si>
    <t>48万円超50万円未満（900万円超950万円以下）</t>
    <rPh sb="2" eb="4">
      <t>マンエン</t>
    </rPh>
    <rPh sb="4" eb="5">
      <t>チョウ</t>
    </rPh>
    <rPh sb="7" eb="9">
      <t>マンエン</t>
    </rPh>
    <rPh sb="9" eb="11">
      <t>ミマン</t>
    </rPh>
    <rPh sb="15" eb="17">
      <t>マンエン</t>
    </rPh>
    <rPh sb="17" eb="18">
      <t>チョウ</t>
    </rPh>
    <rPh sb="21" eb="23">
      <t>マンエン</t>
    </rPh>
    <rPh sb="23" eb="25">
      <t>イカ</t>
    </rPh>
    <phoneticPr fontId="37"/>
  </si>
  <si>
    <t>50万円以上55万円未満（950万円超950万円以下）</t>
    <rPh sb="2" eb="4">
      <t>マンエン</t>
    </rPh>
    <rPh sb="4" eb="6">
      <t>イジョウ</t>
    </rPh>
    <rPh sb="8" eb="10">
      <t>マンエン</t>
    </rPh>
    <rPh sb="10" eb="12">
      <t>ミマン</t>
    </rPh>
    <rPh sb="16" eb="18">
      <t>マンエン</t>
    </rPh>
    <rPh sb="18" eb="19">
      <t>チョウ</t>
    </rPh>
    <rPh sb="22" eb="24">
      <t>マンエン</t>
    </rPh>
    <rPh sb="24" eb="26">
      <t>イカ</t>
    </rPh>
    <phoneticPr fontId="37"/>
  </si>
  <si>
    <t>48万円超50万円未満（950万円超1000万円以下）</t>
    <rPh sb="2" eb="4">
      <t>マンエン</t>
    </rPh>
    <rPh sb="4" eb="5">
      <t>チョウ</t>
    </rPh>
    <rPh sb="7" eb="9">
      <t>マンエン</t>
    </rPh>
    <rPh sb="9" eb="11">
      <t>ミマン</t>
    </rPh>
    <rPh sb="15" eb="17">
      <t>マンエン</t>
    </rPh>
    <rPh sb="17" eb="18">
      <t>チョウ</t>
    </rPh>
    <rPh sb="22" eb="24">
      <t>マンエン</t>
    </rPh>
    <rPh sb="24" eb="26">
      <t>イカ</t>
    </rPh>
    <phoneticPr fontId="37"/>
  </si>
  <si>
    <t>50万円以上55万円未満（950万円超1000万円以下）</t>
    <rPh sb="2" eb="4">
      <t>マンエン</t>
    </rPh>
    <rPh sb="4" eb="6">
      <t>イジョウ</t>
    </rPh>
    <rPh sb="8" eb="10">
      <t>マンエン</t>
    </rPh>
    <rPh sb="10" eb="12">
      <t>ミマン</t>
    </rPh>
    <phoneticPr fontId="37"/>
  </si>
  <si>
    <t>扶養控除</t>
    <rPh sb="0" eb="2">
      <t>フヨウ</t>
    </rPh>
    <rPh sb="2" eb="4">
      <t>コウジョ</t>
    </rPh>
    <phoneticPr fontId="82"/>
  </si>
  <si>
    <t>一般</t>
    <rPh sb="0" eb="2">
      <t>イッパン</t>
    </rPh>
    <phoneticPr fontId="82"/>
  </si>
  <si>
    <t>特定</t>
    <rPh sb="0" eb="2">
      <t>トクテイ</t>
    </rPh>
    <phoneticPr fontId="82"/>
  </si>
  <si>
    <t>老人</t>
    <rPh sb="0" eb="2">
      <t>ロウジン</t>
    </rPh>
    <phoneticPr fontId="82"/>
  </si>
  <si>
    <t>同居老人</t>
    <rPh sb="0" eb="2">
      <t>ドウキョ</t>
    </rPh>
    <rPh sb="2" eb="4">
      <t>ロウジン</t>
    </rPh>
    <phoneticPr fontId="82"/>
  </si>
  <si>
    <t>基礎控除</t>
    <rPh sb="0" eb="2">
      <t>キソ</t>
    </rPh>
    <rPh sb="2" eb="4">
      <t>コウジョ</t>
    </rPh>
    <phoneticPr fontId="82"/>
  </si>
  <si>
    <t>所得から控除される金額</t>
    <rPh sb="0" eb="2">
      <t>ショトク</t>
    </rPh>
    <rPh sb="4" eb="6">
      <t>コウジョ</t>
    </rPh>
    <rPh sb="9" eb="11">
      <t>キンガク</t>
    </rPh>
    <phoneticPr fontId="37"/>
  </si>
  <si>
    <t>課税される所得金額（住民税）</t>
    <rPh sb="0" eb="2">
      <t>カゼイ</t>
    </rPh>
    <rPh sb="5" eb="7">
      <t>ショトク</t>
    </rPh>
    <rPh sb="7" eb="9">
      <t>キンガク</t>
    </rPh>
    <rPh sb="10" eb="13">
      <t>ジュウミンゼイ</t>
    </rPh>
    <phoneticPr fontId="37"/>
  </si>
  <si>
    <t>所得割額</t>
    <rPh sb="0" eb="2">
      <t>ショトク</t>
    </rPh>
    <rPh sb="2" eb="3">
      <t>ワリ</t>
    </rPh>
    <rPh sb="3" eb="4">
      <t>ガク</t>
    </rPh>
    <phoneticPr fontId="37"/>
  </si>
  <si>
    <t>調整控除後所得割額</t>
    <rPh sb="0" eb="2">
      <t>チョウセイ</t>
    </rPh>
    <rPh sb="2" eb="4">
      <t>コウジョ</t>
    </rPh>
    <rPh sb="4" eb="5">
      <t>ゴ</t>
    </rPh>
    <rPh sb="5" eb="7">
      <t>ショトク</t>
    </rPh>
    <rPh sb="7" eb="8">
      <t>ワリ</t>
    </rPh>
    <rPh sb="8" eb="9">
      <t>ガク</t>
    </rPh>
    <phoneticPr fontId="37"/>
  </si>
  <si>
    <t>人的調整後の総合課税所得</t>
    <rPh sb="0" eb="2">
      <t>ジンテキ</t>
    </rPh>
    <rPh sb="2" eb="4">
      <t>チョウセイ</t>
    </rPh>
    <rPh sb="4" eb="5">
      <t>ゴ</t>
    </rPh>
    <rPh sb="6" eb="8">
      <t>ソウゴウ</t>
    </rPh>
    <rPh sb="8" eb="10">
      <t>カゼイ</t>
    </rPh>
    <rPh sb="10" eb="12">
      <t>ショトク</t>
    </rPh>
    <phoneticPr fontId="82"/>
  </si>
  <si>
    <t>住民税から計算された所得税の税率</t>
    <rPh sb="0" eb="3">
      <t>ジュウミンゼイ</t>
    </rPh>
    <rPh sb="5" eb="7">
      <t>ケイサン</t>
    </rPh>
    <rPh sb="10" eb="13">
      <t>ショトクゼイ</t>
    </rPh>
    <rPh sb="14" eb="16">
      <t>ゼイリツ</t>
    </rPh>
    <phoneticPr fontId="37"/>
  </si>
  <si>
    <t>自己負担2000円の上限（1000円未満切捨て）</t>
    <rPh sb="0" eb="2">
      <t>ジコ</t>
    </rPh>
    <rPh sb="2" eb="4">
      <t>フタン</t>
    </rPh>
    <rPh sb="8" eb="9">
      <t>エン</t>
    </rPh>
    <rPh sb="10" eb="12">
      <t>ジョウゲン</t>
    </rPh>
    <rPh sb="17" eb="18">
      <t>エン</t>
    </rPh>
    <rPh sb="18" eb="20">
      <t>ミマン</t>
    </rPh>
    <rPh sb="20" eb="22">
      <t>キリス</t>
    </rPh>
    <phoneticPr fontId="37"/>
  </si>
  <si>
    <t>自己負担2000円の上限</t>
    <phoneticPr fontId="37"/>
  </si>
  <si>
    <t>課税される所得金額（所得税）</t>
    <rPh sb="0" eb="2">
      <t>カゼイ</t>
    </rPh>
    <rPh sb="5" eb="7">
      <t>ショトク</t>
    </rPh>
    <rPh sb="7" eb="9">
      <t>キンガク</t>
    </rPh>
    <rPh sb="10" eb="13">
      <t>ショトクゼイ</t>
    </rPh>
    <phoneticPr fontId="37"/>
  </si>
  <si>
    <t>所得税の確定申告をする場合の注意</t>
    <rPh sb="11" eb="13">
      <t>バアイ</t>
    </rPh>
    <rPh sb="14" eb="16">
      <t>チュウイ</t>
    </rPh>
    <phoneticPr fontId="37"/>
  </si>
  <si>
    <t>＜確定申告＞</t>
    <phoneticPr fontId="37"/>
  </si>
  <si>
    <t>＜申告特例（ワンストップ）＞</t>
    <phoneticPr fontId="37"/>
  </si>
  <si>
    <t>所得税分</t>
    <rPh sb="0" eb="3">
      <t>ショトクゼイ</t>
    </rPh>
    <rPh sb="3" eb="4">
      <t>ブン</t>
    </rPh>
    <phoneticPr fontId="82"/>
  </si>
  <si>
    <t>申告特例分</t>
    <rPh sb="0" eb="2">
      <t>シンコク</t>
    </rPh>
    <rPh sb="2" eb="4">
      <t>トクレイ</t>
    </rPh>
    <rPh sb="4" eb="5">
      <t>ブン</t>
    </rPh>
    <phoneticPr fontId="82"/>
  </si>
  <si>
    <t>住民税基礎分</t>
    <rPh sb="0" eb="3">
      <t>ジュウミンゼイ</t>
    </rPh>
    <rPh sb="3" eb="5">
      <t>キソ</t>
    </rPh>
    <rPh sb="5" eb="6">
      <t>ブン</t>
    </rPh>
    <phoneticPr fontId="82"/>
  </si>
  <si>
    <t>住民税特例分</t>
    <rPh sb="0" eb="3">
      <t>ジュウミンゼイ</t>
    </rPh>
    <rPh sb="3" eb="5">
      <t>トクレイ</t>
    </rPh>
    <rPh sb="5" eb="6">
      <t>ブン</t>
    </rPh>
    <phoneticPr fontId="82"/>
  </si>
  <si>
    <t>控除合計</t>
    <rPh sb="0" eb="2">
      <t>コウジョ</t>
    </rPh>
    <rPh sb="2" eb="4">
      <t>ゴウケイ</t>
    </rPh>
    <phoneticPr fontId="82"/>
  </si>
  <si>
    <t>１．</t>
    <phoneticPr fontId="37"/>
  </si>
  <si>
    <t>特例控除対象の寄附金（ふるさと納税）の目安</t>
    <rPh sb="0" eb="2">
      <t>トクレイ</t>
    </rPh>
    <rPh sb="2" eb="4">
      <t>コウジョ</t>
    </rPh>
    <rPh sb="4" eb="6">
      <t>タイショウ</t>
    </rPh>
    <rPh sb="7" eb="10">
      <t>キフキン</t>
    </rPh>
    <rPh sb="15" eb="17">
      <t>ノウゼイ</t>
    </rPh>
    <rPh sb="19" eb="21">
      <t>メヤス</t>
    </rPh>
    <phoneticPr fontId="37"/>
  </si>
  <si>
    <t>住民税額試算</t>
    <rPh sb="0" eb="3">
      <t>ジュウミンゼイ</t>
    </rPh>
    <rPh sb="3" eb="4">
      <t>ガク</t>
    </rPh>
    <rPh sb="4" eb="6">
      <t>シサン</t>
    </rPh>
    <phoneticPr fontId="37"/>
  </si>
  <si>
    <t>市民税</t>
    <rPh sb="0" eb="3">
      <t>シミンゼイ</t>
    </rPh>
    <phoneticPr fontId="37"/>
  </si>
  <si>
    <t>県民税</t>
    <rPh sb="0" eb="3">
      <t>ケンミンゼイ</t>
    </rPh>
    <phoneticPr fontId="37"/>
  </si>
  <si>
    <t>調整控除（市民税）</t>
    <rPh sb="0" eb="2">
      <t>チョウセイ</t>
    </rPh>
    <rPh sb="2" eb="4">
      <t>コウジョ</t>
    </rPh>
    <rPh sb="5" eb="8">
      <t>シミンゼイ</t>
    </rPh>
    <phoneticPr fontId="37"/>
  </si>
  <si>
    <t>調整控除（県民税）</t>
    <rPh sb="0" eb="2">
      <t>チョウセイ</t>
    </rPh>
    <rPh sb="2" eb="4">
      <t>コウジョ</t>
    </rPh>
    <rPh sb="5" eb="8">
      <t>ケンミンゼイ</t>
    </rPh>
    <phoneticPr fontId="37"/>
  </si>
  <si>
    <t>調整控除後所得割額（市）</t>
    <rPh sb="0" eb="2">
      <t>チョウセイ</t>
    </rPh>
    <rPh sb="2" eb="4">
      <t>コウジョ</t>
    </rPh>
    <rPh sb="4" eb="5">
      <t>ゴ</t>
    </rPh>
    <rPh sb="5" eb="7">
      <t>ショトク</t>
    </rPh>
    <rPh sb="7" eb="8">
      <t>ワリ</t>
    </rPh>
    <rPh sb="8" eb="9">
      <t>ガク</t>
    </rPh>
    <rPh sb="10" eb="11">
      <t>シ</t>
    </rPh>
    <phoneticPr fontId="37"/>
  </si>
  <si>
    <t>調整控除後所得割額（県）</t>
    <rPh sb="0" eb="2">
      <t>チョウセイ</t>
    </rPh>
    <rPh sb="2" eb="4">
      <t>コウジョ</t>
    </rPh>
    <rPh sb="4" eb="5">
      <t>ゴ</t>
    </rPh>
    <rPh sb="5" eb="7">
      <t>ショトク</t>
    </rPh>
    <rPh sb="7" eb="8">
      <t>ワリ</t>
    </rPh>
    <rPh sb="8" eb="9">
      <t>ガク</t>
    </rPh>
    <rPh sb="10" eb="11">
      <t>ケン</t>
    </rPh>
    <phoneticPr fontId="37"/>
  </si>
  <si>
    <t>扶養の人数</t>
    <rPh sb="0" eb="2">
      <t>フヨウ</t>
    </rPh>
    <rPh sb="3" eb="5">
      <t>ニンズウ</t>
    </rPh>
    <phoneticPr fontId="37"/>
  </si>
  <si>
    <t>均等割非課税</t>
    <rPh sb="0" eb="3">
      <t>キントウワ</t>
    </rPh>
    <rPh sb="3" eb="6">
      <t>ヒカゼイ</t>
    </rPh>
    <phoneticPr fontId="37"/>
  </si>
  <si>
    <t>所得割非課税</t>
    <rPh sb="0" eb="2">
      <t>ショトク</t>
    </rPh>
    <rPh sb="2" eb="3">
      <t>ワリ</t>
    </rPh>
    <rPh sb="3" eb="6">
      <t>ヒカゼイ</t>
    </rPh>
    <phoneticPr fontId="37"/>
  </si>
  <si>
    <t>均等割非課税判定</t>
    <rPh sb="0" eb="3">
      <t>キントウワ</t>
    </rPh>
    <rPh sb="3" eb="6">
      <t>ヒカゼイ</t>
    </rPh>
    <rPh sb="6" eb="8">
      <t>ハンテイ</t>
    </rPh>
    <phoneticPr fontId="37"/>
  </si>
  <si>
    <t>所得割非課税判定</t>
    <rPh sb="0" eb="2">
      <t>ショトク</t>
    </rPh>
    <rPh sb="2" eb="3">
      <t>ワリ</t>
    </rPh>
    <rPh sb="3" eb="6">
      <t>ヒカゼイ</t>
    </rPh>
    <rPh sb="6" eb="8">
      <t>ハンテイ</t>
    </rPh>
    <phoneticPr fontId="37"/>
  </si>
  <si>
    <t>均等割額</t>
    <rPh sb="0" eb="3">
      <t>キントウワ</t>
    </rPh>
    <rPh sb="3" eb="4">
      <t>ガク</t>
    </rPh>
    <phoneticPr fontId="37"/>
  </si>
  <si>
    <t>均等割額（市）</t>
    <rPh sb="0" eb="3">
      <t>キントウワ</t>
    </rPh>
    <rPh sb="3" eb="4">
      <t>ガク</t>
    </rPh>
    <rPh sb="5" eb="6">
      <t>シ</t>
    </rPh>
    <phoneticPr fontId="37"/>
  </si>
  <si>
    <t>住民税</t>
    <rPh sb="0" eb="3">
      <t>ジュウミンゼイ</t>
    </rPh>
    <phoneticPr fontId="37"/>
  </si>
  <si>
    <t>未成年非課税</t>
    <rPh sb="0" eb="3">
      <t>ミセイネン</t>
    </rPh>
    <rPh sb="3" eb="6">
      <t>ヒカゼイ</t>
    </rPh>
    <phoneticPr fontId="37"/>
  </si>
  <si>
    <t>ひとり親・寡婦非課税</t>
    <rPh sb="3" eb="4">
      <t>オヤ</t>
    </rPh>
    <rPh sb="5" eb="7">
      <t>カフ</t>
    </rPh>
    <rPh sb="7" eb="10">
      <t>ヒカゼイ</t>
    </rPh>
    <phoneticPr fontId="37"/>
  </si>
  <si>
    <t>本人障害非課税</t>
    <rPh sb="0" eb="2">
      <t>ホンニン</t>
    </rPh>
    <rPh sb="2" eb="4">
      <t>ショウガイ</t>
    </rPh>
    <rPh sb="4" eb="7">
      <t>ヒカゼイ</t>
    </rPh>
    <phoneticPr fontId="37"/>
  </si>
  <si>
    <t>未成年年月日</t>
    <rPh sb="0" eb="3">
      <t>ミセイネン</t>
    </rPh>
    <rPh sb="3" eb="6">
      <t>ネンガッピ</t>
    </rPh>
    <phoneticPr fontId="37"/>
  </si>
  <si>
    <t>市・県民税（住民税）の概算</t>
    <rPh sb="0" eb="1">
      <t>シ</t>
    </rPh>
    <rPh sb="2" eb="5">
      <t>ケンミンゼイ</t>
    </rPh>
    <rPh sb="6" eb="9">
      <t>ジュウミンゼイ</t>
    </rPh>
    <rPh sb="11" eb="13">
      <t>ガイサン</t>
    </rPh>
    <phoneticPr fontId="37"/>
  </si>
  <si>
    <t>市民税</t>
    <rPh sb="0" eb="3">
      <t>シミンゼイ</t>
    </rPh>
    <phoneticPr fontId="37"/>
  </si>
  <si>
    <t>所得金額の合計</t>
    <rPh sb="0" eb="2">
      <t>ショトク</t>
    </rPh>
    <rPh sb="2" eb="4">
      <t>キンガク</t>
    </rPh>
    <rPh sb="5" eb="7">
      <t>ゴウケイ</t>
    </rPh>
    <phoneticPr fontId="37"/>
  </si>
  <si>
    <t>所得控除額の合計</t>
    <rPh sb="0" eb="2">
      <t>ショトク</t>
    </rPh>
    <rPh sb="2" eb="4">
      <t>コウジョ</t>
    </rPh>
    <rPh sb="4" eb="5">
      <t>ガク</t>
    </rPh>
    <rPh sb="6" eb="8">
      <t>ゴウケイ</t>
    </rPh>
    <phoneticPr fontId="37"/>
  </si>
  <si>
    <t>課税標準額</t>
    <rPh sb="0" eb="2">
      <t>カゼイ</t>
    </rPh>
    <rPh sb="2" eb="4">
      <t>ヒョウジュン</t>
    </rPh>
    <rPh sb="4" eb="5">
      <t>ガク</t>
    </rPh>
    <phoneticPr fontId="37"/>
  </si>
  <si>
    <t>所得割の税率</t>
    <rPh sb="0" eb="2">
      <t>ショトク</t>
    </rPh>
    <rPh sb="2" eb="3">
      <t>ワリ</t>
    </rPh>
    <rPh sb="4" eb="6">
      <t>ゼイリツ</t>
    </rPh>
    <phoneticPr fontId="37"/>
  </si>
  <si>
    <t>算出所得割</t>
    <rPh sb="0" eb="2">
      <t>サンシュツ</t>
    </rPh>
    <rPh sb="2" eb="4">
      <t>ショトク</t>
    </rPh>
    <rPh sb="4" eb="5">
      <t>ワリ</t>
    </rPh>
    <phoneticPr fontId="37"/>
  </si>
  <si>
    <t>調整控除額</t>
    <rPh sb="0" eb="2">
      <t>チョウセイ</t>
    </rPh>
    <rPh sb="2" eb="4">
      <t>コウジョ</t>
    </rPh>
    <rPh sb="4" eb="5">
      <t>ガク</t>
    </rPh>
    <phoneticPr fontId="37"/>
  </si>
  <si>
    <t>寄附金税額控除</t>
    <rPh sb="0" eb="3">
      <t>キフキン</t>
    </rPh>
    <rPh sb="3" eb="5">
      <t>ゼイガク</t>
    </rPh>
    <rPh sb="5" eb="7">
      <t>コウジョ</t>
    </rPh>
    <phoneticPr fontId="37"/>
  </si>
  <si>
    <t>税額調整額</t>
    <rPh sb="0" eb="2">
      <t>ゼイガク</t>
    </rPh>
    <rPh sb="2" eb="4">
      <t>チョウセイ</t>
    </rPh>
    <rPh sb="4" eb="5">
      <t>ガク</t>
    </rPh>
    <phoneticPr fontId="37"/>
  </si>
  <si>
    <t>個人市・県民税額</t>
    <rPh sb="0" eb="2">
      <t>コジン</t>
    </rPh>
    <rPh sb="2" eb="3">
      <t>シ</t>
    </rPh>
    <rPh sb="4" eb="7">
      <t>ケンミンゼイ</t>
    </rPh>
    <rPh sb="7" eb="8">
      <t>ガク</t>
    </rPh>
    <phoneticPr fontId="37"/>
  </si>
  <si>
    <t>県民税</t>
    <rPh sb="0" eb="3">
      <t>ケンミンゼイ</t>
    </rPh>
    <phoneticPr fontId="37"/>
  </si>
  <si>
    <t>6%</t>
    <phoneticPr fontId="37"/>
  </si>
  <si>
    <t>4%</t>
    <phoneticPr fontId="37"/>
  </si>
  <si>
    <t>10%</t>
    <phoneticPr fontId="37"/>
  </si>
  <si>
    <t>均等割額</t>
    <rPh sb="0" eb="3">
      <t>キントウワ</t>
    </rPh>
    <rPh sb="3" eb="4">
      <t>ガク</t>
    </rPh>
    <phoneticPr fontId="37"/>
  </si>
  <si>
    <t>税額調整額</t>
    <rPh sb="0" eb="2">
      <t>ゼイガク</t>
    </rPh>
    <rPh sb="2" eb="4">
      <t>チョウセイ</t>
    </rPh>
    <rPh sb="4" eb="5">
      <t>ガク</t>
    </rPh>
    <phoneticPr fontId="37"/>
  </si>
  <si>
    <t>税額調整額（市）</t>
    <rPh sb="0" eb="2">
      <t>ゼイガク</t>
    </rPh>
    <rPh sb="2" eb="4">
      <t>チョウセイ</t>
    </rPh>
    <rPh sb="4" eb="5">
      <t>ガク</t>
    </rPh>
    <rPh sb="6" eb="7">
      <t>シ</t>
    </rPh>
    <phoneticPr fontId="37"/>
  </si>
  <si>
    <t>税額調整額（県）</t>
    <rPh sb="0" eb="2">
      <t>ゼイガク</t>
    </rPh>
    <rPh sb="2" eb="4">
      <t>チョウセイ</t>
    </rPh>
    <rPh sb="4" eb="5">
      <t>ガク</t>
    </rPh>
    <rPh sb="6" eb="7">
      <t>ケン</t>
    </rPh>
    <phoneticPr fontId="37"/>
  </si>
  <si>
    <t>所得割（市）</t>
    <rPh sb="0" eb="2">
      <t>ショトク</t>
    </rPh>
    <rPh sb="2" eb="3">
      <t>ワリ</t>
    </rPh>
    <rPh sb="4" eb="5">
      <t>シ</t>
    </rPh>
    <phoneticPr fontId="37"/>
  </si>
  <si>
    <t>所得割（県）</t>
    <rPh sb="0" eb="2">
      <t>ショトク</t>
    </rPh>
    <rPh sb="2" eb="3">
      <t>ワリ</t>
    </rPh>
    <rPh sb="4" eb="5">
      <t>ケン</t>
    </rPh>
    <phoneticPr fontId="37"/>
  </si>
  <si>
    <t>算出所得割</t>
    <rPh sb="0" eb="2">
      <t>サンシュツ</t>
    </rPh>
    <rPh sb="2" eb="4">
      <t>ショトク</t>
    </rPh>
    <rPh sb="4" eb="5">
      <t>ワリ</t>
    </rPh>
    <phoneticPr fontId="37"/>
  </si>
  <si>
    <t>調整控除</t>
    <rPh sb="0" eb="2">
      <t>チョウセイ</t>
    </rPh>
    <rPh sb="2" eb="4">
      <t>コウジョ</t>
    </rPh>
    <phoneticPr fontId="37"/>
  </si>
  <si>
    <t>所得割</t>
    <rPh sb="0" eb="2">
      <t>ショトク</t>
    </rPh>
    <rPh sb="2" eb="3">
      <t>ワリ</t>
    </rPh>
    <phoneticPr fontId="37"/>
  </si>
  <si>
    <t>住民税（市）</t>
    <rPh sb="0" eb="3">
      <t>ジュウミンゼイ</t>
    </rPh>
    <rPh sb="4" eb="5">
      <t>シ</t>
    </rPh>
    <phoneticPr fontId="37"/>
  </si>
  <si>
    <t>住民税（県）</t>
    <rPh sb="0" eb="3">
      <t>ジュウミンゼイ</t>
    </rPh>
    <rPh sb="4" eb="5">
      <t>ケン</t>
    </rPh>
    <phoneticPr fontId="37"/>
  </si>
  <si>
    <t>均等割額（県）</t>
    <rPh sb="0" eb="3">
      <t>キントウワ</t>
    </rPh>
    <rPh sb="3" eb="4">
      <t>ガク</t>
    </rPh>
    <rPh sb="5" eb="6">
      <t>ケン</t>
    </rPh>
    <phoneticPr fontId="37"/>
  </si>
  <si>
    <t>寄附金税額控除（市）</t>
    <rPh sb="0" eb="3">
      <t>キフキン</t>
    </rPh>
    <rPh sb="3" eb="5">
      <t>ゼイガク</t>
    </rPh>
    <rPh sb="5" eb="7">
      <t>コウジョ</t>
    </rPh>
    <rPh sb="8" eb="9">
      <t>シ</t>
    </rPh>
    <phoneticPr fontId="37"/>
  </si>
  <si>
    <t>寄附金税額控除（県）</t>
    <rPh sb="0" eb="3">
      <t>キフキン</t>
    </rPh>
    <rPh sb="3" eb="5">
      <t>ゼイガク</t>
    </rPh>
    <rPh sb="5" eb="7">
      <t>コウジョ</t>
    </rPh>
    <rPh sb="8" eb="9">
      <t>ケン</t>
    </rPh>
    <phoneticPr fontId="37"/>
  </si>
  <si>
    <t>寄附金税額控除</t>
    <phoneticPr fontId="37"/>
  </si>
  <si>
    <t>県分</t>
    <rPh sb="0" eb="1">
      <t>ケン</t>
    </rPh>
    <rPh sb="1" eb="2">
      <t>ブン</t>
    </rPh>
    <phoneticPr fontId="37"/>
  </si>
  <si>
    <t>市分</t>
    <rPh sb="0" eb="1">
      <t>シ</t>
    </rPh>
    <rPh sb="1" eb="2">
      <t>ブン</t>
    </rPh>
    <phoneticPr fontId="37"/>
  </si>
  <si>
    <t>市・県分</t>
    <rPh sb="0" eb="1">
      <t>シ</t>
    </rPh>
    <rPh sb="2" eb="3">
      <t>ケン</t>
    </rPh>
    <rPh sb="3" eb="4">
      <t>ブン</t>
    </rPh>
    <phoneticPr fontId="37"/>
  </si>
  <si>
    <t>日赤等</t>
    <rPh sb="0" eb="2">
      <t>ニッセキ</t>
    </rPh>
    <rPh sb="2" eb="3">
      <t>トウ</t>
    </rPh>
    <phoneticPr fontId="37"/>
  </si>
  <si>
    <t>ふるさと納税</t>
    <rPh sb="4" eb="6">
      <t>ノウゼイ</t>
    </rPh>
    <phoneticPr fontId="37"/>
  </si>
  <si>
    <t>基本分</t>
    <rPh sb="0" eb="2">
      <t>キホン</t>
    </rPh>
    <rPh sb="2" eb="3">
      <t>ブン</t>
    </rPh>
    <phoneticPr fontId="37"/>
  </si>
  <si>
    <t>特例分</t>
    <rPh sb="0" eb="2">
      <t>トクレイ</t>
    </rPh>
    <rPh sb="2" eb="3">
      <t>ブン</t>
    </rPh>
    <phoneticPr fontId="37"/>
  </si>
  <si>
    <t>申告特例分</t>
    <rPh sb="0" eb="2">
      <t>シンコク</t>
    </rPh>
    <rPh sb="2" eb="4">
      <t>トクレイ</t>
    </rPh>
    <rPh sb="4" eb="5">
      <t>ブン</t>
    </rPh>
    <phoneticPr fontId="37"/>
  </si>
  <si>
    <t>合計（ワンストップ）</t>
    <rPh sb="0" eb="2">
      <t>ゴウケイ</t>
    </rPh>
    <phoneticPr fontId="37"/>
  </si>
  <si>
    <t>合計（非申告特例）</t>
    <rPh sb="0" eb="2">
      <t>ゴウケイ</t>
    </rPh>
    <rPh sb="3" eb="4">
      <t>ヒ</t>
    </rPh>
    <rPh sb="4" eb="6">
      <t>シンコク</t>
    </rPh>
    <rPh sb="6" eb="8">
      <t>トクレイ</t>
    </rPh>
    <phoneticPr fontId="37"/>
  </si>
  <si>
    <t>配当控除</t>
    <rPh sb="0" eb="2">
      <t>ハイトウ</t>
    </rPh>
    <rPh sb="2" eb="4">
      <t>コウジョ</t>
    </rPh>
    <phoneticPr fontId="37"/>
  </si>
  <si>
    <t>配当控除（県）</t>
    <rPh sb="0" eb="2">
      <t>ハイトウ</t>
    </rPh>
    <rPh sb="2" eb="4">
      <t>コウジョ</t>
    </rPh>
    <rPh sb="5" eb="6">
      <t>ケン</t>
    </rPh>
    <phoneticPr fontId="37"/>
  </si>
  <si>
    <t>配当控除（市）</t>
    <rPh sb="0" eb="2">
      <t>ハイトウ</t>
    </rPh>
    <rPh sb="2" eb="4">
      <t>コウジョ</t>
    </rPh>
    <rPh sb="5" eb="6">
      <t>シ</t>
    </rPh>
    <phoneticPr fontId="37"/>
  </si>
  <si>
    <t>配当控除</t>
    <rPh sb="0" eb="2">
      <t>ハイトウ</t>
    </rPh>
    <rPh sb="2" eb="4">
      <t>コウジョ</t>
    </rPh>
    <phoneticPr fontId="37"/>
  </si>
  <si>
    <t>0．</t>
    <phoneticPr fontId="37"/>
  </si>
  <si>
    <t>特例控除対象の寄附金（ふるさと納税）の目安および市県民税試算のための入力</t>
    <rPh sb="24" eb="28">
      <t>シケンミンゼイ</t>
    </rPh>
    <rPh sb="28" eb="30">
      <t>シサン</t>
    </rPh>
    <rPh sb="34" eb="36">
      <t>ニュウリョク</t>
    </rPh>
    <phoneticPr fontId="37"/>
  </si>
  <si>
    <t>①</t>
    <phoneticPr fontId="37"/>
  </si>
  <si>
    <t>②</t>
    <phoneticPr fontId="37"/>
  </si>
  <si>
    <t>③（①－②）</t>
    <phoneticPr fontId="37"/>
  </si>
  <si>
    <t>④</t>
    <phoneticPr fontId="37"/>
  </si>
  <si>
    <t>⑥</t>
    <phoneticPr fontId="37"/>
  </si>
  <si>
    <t>⑦</t>
    <phoneticPr fontId="37"/>
  </si>
  <si>
    <t>⑧</t>
    <phoneticPr fontId="37"/>
  </si>
  <si>
    <t>⑤（③×④）</t>
    <phoneticPr fontId="37"/>
  </si>
  <si>
    <t>⑨</t>
    <phoneticPr fontId="37"/>
  </si>
  <si>
    <t>⑩（⑤-⑥-⑦-⑧-⑨）</t>
    <phoneticPr fontId="37"/>
  </si>
  <si>
    <t>⑩+⑪</t>
    <phoneticPr fontId="37"/>
  </si>
  <si>
    <t>所得税分</t>
    <rPh sb="0" eb="3">
      <t>ショトクゼイ</t>
    </rPh>
    <rPh sb="3" eb="4">
      <t>ブン</t>
    </rPh>
    <phoneticPr fontId="37"/>
  </si>
  <si>
    <t>所得税控除合計(申告の寄付額)</t>
    <rPh sb="8" eb="10">
      <t>シンコク</t>
    </rPh>
    <rPh sb="11" eb="13">
      <t>キフ</t>
    </rPh>
    <rPh sb="13" eb="14">
      <t>ガク</t>
    </rPh>
    <phoneticPr fontId="37"/>
  </si>
  <si>
    <t>課税される所得金額(所得税)</t>
    <rPh sb="10" eb="13">
      <t>ショトクゼイ</t>
    </rPh>
    <phoneticPr fontId="37"/>
  </si>
  <si>
    <t>Max寄附</t>
    <rPh sb="3" eb="5">
      <t>キフ</t>
    </rPh>
    <phoneticPr fontId="37"/>
  </si>
  <si>
    <t>申告寄附</t>
    <rPh sb="0" eb="2">
      <t>シンコク</t>
    </rPh>
    <rPh sb="2" eb="4">
      <t>キフ</t>
    </rPh>
    <phoneticPr fontId="37"/>
  </si>
  <si>
    <t>ひとり親控除を申告する場合、申告をする人（寄附をする人）の性別を選択してください（ひとり親控除の人的控除の差額に性別の情報が必要です）。</t>
    <rPh sb="3" eb="4">
      <t>オヤ</t>
    </rPh>
    <rPh sb="4" eb="6">
      <t>コウジョ</t>
    </rPh>
    <rPh sb="7" eb="9">
      <t>シンコク</t>
    </rPh>
    <rPh sb="11" eb="13">
      <t>バアイ</t>
    </rPh>
    <rPh sb="14" eb="16">
      <t>シンコク</t>
    </rPh>
    <rPh sb="19" eb="20">
      <t>ヒト</t>
    </rPh>
    <rPh sb="21" eb="23">
      <t>キフ</t>
    </rPh>
    <rPh sb="26" eb="27">
      <t>ヒト</t>
    </rPh>
    <rPh sb="29" eb="31">
      <t>セイベツ</t>
    </rPh>
    <rPh sb="32" eb="34">
      <t>センタク</t>
    </rPh>
    <rPh sb="44" eb="45">
      <t>オヤ</t>
    </rPh>
    <rPh sb="45" eb="47">
      <t>コウジョ</t>
    </rPh>
    <rPh sb="48" eb="50">
      <t>ジンテキ</t>
    </rPh>
    <rPh sb="50" eb="52">
      <t>コウジョ</t>
    </rPh>
    <rPh sb="53" eb="55">
      <t>サガク</t>
    </rPh>
    <rPh sb="56" eb="58">
      <t>セイベツ</t>
    </rPh>
    <rPh sb="59" eb="61">
      <t>ジョウホウ</t>
    </rPh>
    <rPh sb="62" eb="64">
      <t>ヒツヨウ</t>
    </rPh>
    <phoneticPr fontId="37"/>
  </si>
  <si>
    <t>障害者もしくは特別障害者控除を申告する場合で、申告をする人が障害者のとき、「本人」を選択してください（市・県民税の非課税判定に必要です）。</t>
    <rPh sb="0" eb="3">
      <t>ショウガイシャ</t>
    </rPh>
    <rPh sb="7" eb="9">
      <t>トクベツ</t>
    </rPh>
    <rPh sb="9" eb="12">
      <t>ショウガイシャ</t>
    </rPh>
    <rPh sb="12" eb="14">
      <t>コウジョ</t>
    </rPh>
    <rPh sb="15" eb="17">
      <t>シンコク</t>
    </rPh>
    <rPh sb="19" eb="21">
      <t>バアイ</t>
    </rPh>
    <rPh sb="23" eb="25">
      <t>シンコク</t>
    </rPh>
    <rPh sb="28" eb="29">
      <t>ヒト</t>
    </rPh>
    <rPh sb="30" eb="33">
      <t>ショウガイシャ</t>
    </rPh>
    <rPh sb="38" eb="40">
      <t>ホンニン</t>
    </rPh>
    <rPh sb="42" eb="44">
      <t>センタク</t>
    </rPh>
    <rPh sb="51" eb="52">
      <t>シ</t>
    </rPh>
    <rPh sb="53" eb="56">
      <t>ケンミンゼイ</t>
    </rPh>
    <rPh sb="57" eb="60">
      <t>ヒカゼイ</t>
    </rPh>
    <rPh sb="60" eb="62">
      <t>ハンテイ</t>
    </rPh>
    <rPh sb="63" eb="65">
      <t>ヒツヨウ</t>
    </rPh>
    <phoneticPr fontId="37"/>
  </si>
  <si>
    <t>所得税率（MAX寄附）</t>
    <rPh sb="0" eb="2">
      <t>ショトク</t>
    </rPh>
    <rPh sb="2" eb="4">
      <t>ゼイリツ</t>
    </rPh>
    <rPh sb="8" eb="10">
      <t>キフ</t>
    </rPh>
    <phoneticPr fontId="37"/>
  </si>
  <si>
    <t>所得税率（申告寄附）</t>
    <rPh sb="5" eb="7">
      <t>シンコク</t>
    </rPh>
    <phoneticPr fontId="37"/>
  </si>
  <si>
    <t>特例控除対象の寄附（ふるさと納税）をしたときに、最大控除額を税金から控除できる最大寄附金額（1,000円未満切捨て）</t>
    <rPh sb="7" eb="9">
      <t>キフ</t>
    </rPh>
    <rPh sb="14" eb="16">
      <t>ノウゼイ</t>
    </rPh>
    <rPh sb="24" eb="26">
      <t>サイダイ</t>
    </rPh>
    <rPh sb="26" eb="28">
      <t>コウジョ</t>
    </rPh>
    <rPh sb="28" eb="29">
      <t>ガク</t>
    </rPh>
    <rPh sb="30" eb="32">
      <t>ゼイキン</t>
    </rPh>
    <rPh sb="34" eb="36">
      <t>コウジョ</t>
    </rPh>
    <rPh sb="39" eb="41">
      <t>サイダイ</t>
    </rPh>
    <rPh sb="41" eb="43">
      <t>キフ</t>
    </rPh>
    <rPh sb="43" eb="45">
      <t>キンガク</t>
    </rPh>
    <rPh sb="51" eb="52">
      <t>エン</t>
    </rPh>
    <rPh sb="52" eb="54">
      <t>ミマン</t>
    </rPh>
    <rPh sb="54" eb="56">
      <t>キリス</t>
    </rPh>
    <phoneticPr fontId="37"/>
  </si>
  <si>
    <t>寄附金の所得控除により、所得税及び復興特別所得税から控除される額の目安</t>
    <rPh sb="0" eb="3">
      <t>キフキン</t>
    </rPh>
    <rPh sb="4" eb="6">
      <t>ショトク</t>
    </rPh>
    <rPh sb="6" eb="8">
      <t>コウジョ</t>
    </rPh>
    <rPh sb="12" eb="15">
      <t>ショトクゼイ</t>
    </rPh>
    <rPh sb="15" eb="16">
      <t>オヨ</t>
    </rPh>
    <rPh sb="17" eb="19">
      <t>フッコウ</t>
    </rPh>
    <rPh sb="19" eb="21">
      <t>トクベツ</t>
    </rPh>
    <rPh sb="21" eb="24">
      <t>ショトクゼイ</t>
    </rPh>
    <rPh sb="26" eb="28">
      <t>コウジョ</t>
    </rPh>
    <rPh sb="31" eb="32">
      <t>ガク</t>
    </rPh>
    <rPh sb="33" eb="35">
      <t>メヤス</t>
    </rPh>
    <phoneticPr fontId="37"/>
  </si>
  <si>
    <t>ワンストップ特例（申告特例）適用</t>
    <rPh sb="6" eb="8">
      <t>トクレイ</t>
    </rPh>
    <rPh sb="9" eb="11">
      <t>シンコク</t>
    </rPh>
    <rPh sb="11" eb="13">
      <t>トクレイ</t>
    </rPh>
    <rPh sb="14" eb="16">
      <t>テキヨウ</t>
    </rPh>
    <phoneticPr fontId="37"/>
  </si>
  <si>
    <t>所得税及び復興特別所得税の確定申告書提出</t>
    <rPh sb="0" eb="3">
      <t>ショトクゼイ</t>
    </rPh>
    <rPh sb="3" eb="4">
      <t>オヨ</t>
    </rPh>
    <rPh sb="5" eb="7">
      <t>フッコウ</t>
    </rPh>
    <rPh sb="7" eb="9">
      <t>トクベツ</t>
    </rPh>
    <rPh sb="9" eb="11">
      <t>ショトク</t>
    </rPh>
    <rPh sb="11" eb="12">
      <t>ゼイ</t>
    </rPh>
    <rPh sb="13" eb="15">
      <t>カクテイ</t>
    </rPh>
    <rPh sb="15" eb="17">
      <t>シンコク</t>
    </rPh>
    <rPh sb="17" eb="18">
      <t>ショ</t>
    </rPh>
    <rPh sb="18" eb="20">
      <t>テイシュツ</t>
    </rPh>
    <phoneticPr fontId="37"/>
  </si>
  <si>
    <t>同左</t>
    <rPh sb="0" eb="2">
      <t>ドウサ</t>
    </rPh>
    <phoneticPr fontId="37"/>
  </si>
  <si>
    <t>ver.2.0.1.1</t>
    <phoneticPr fontId="37"/>
  </si>
  <si>
    <t>ふるさと納税・住民税試算</t>
    <rPh sb="4" eb="6">
      <t>ノウゼイ</t>
    </rPh>
    <rPh sb="7" eb="10">
      <t>ジュウミンゼイ</t>
    </rPh>
    <rPh sb="10" eb="12">
      <t>シサン</t>
    </rPh>
    <phoneticPr fontId="37"/>
  </si>
  <si>
    <t>6-11月</t>
    <rPh sb="4" eb="5">
      <t>ガツ</t>
    </rPh>
    <phoneticPr fontId="1"/>
  </si>
  <si>
    <t>所得割額の計算</t>
    <rPh sb="0" eb="2">
      <t>ショトク</t>
    </rPh>
    <rPh sb="2" eb="3">
      <t>ワリ</t>
    </rPh>
    <rPh sb="3" eb="4">
      <t>ガク</t>
    </rPh>
    <rPh sb="5" eb="7">
      <t>ケイサン</t>
    </rPh>
    <phoneticPr fontId="37"/>
  </si>
  <si>
    <t>寄附金の入力はこちら</t>
    <rPh sb="4" eb="6">
      <t>ニュウリョク</t>
    </rPh>
    <phoneticPr fontId="37"/>
  </si>
  <si>
    <t>税額調整前</t>
    <rPh sb="0" eb="2">
      <t>ゼイガク</t>
    </rPh>
    <rPh sb="2" eb="4">
      <t>チョウセイ</t>
    </rPh>
    <rPh sb="4" eb="5">
      <t>マエ</t>
    </rPh>
    <phoneticPr fontId="37"/>
  </si>
  <si>
    <t>税額調整前（市）</t>
    <rPh sb="6" eb="7">
      <t>シ</t>
    </rPh>
    <phoneticPr fontId="37"/>
  </si>
  <si>
    <t>税額調整前（県）</t>
    <rPh sb="6" eb="7">
      <t>ケン</t>
    </rPh>
    <phoneticPr fontId="37"/>
  </si>
  <si>
    <t>16歳未満扶養の人数</t>
    <rPh sb="2" eb="3">
      <t>サイ</t>
    </rPh>
    <rPh sb="3" eb="5">
      <t>ミマン</t>
    </rPh>
    <rPh sb="5" eb="7">
      <t>フヨウ</t>
    </rPh>
    <rPh sb="8" eb="10">
      <t>ニンズウ</t>
    </rPh>
    <phoneticPr fontId="37"/>
  </si>
  <si>
    <t>三人目</t>
    <rPh sb="0" eb="1">
      <t>サン</t>
    </rPh>
    <rPh sb="1" eb="2">
      <t>ニン</t>
    </rPh>
    <rPh sb="2" eb="3">
      <t>メ</t>
    </rPh>
    <phoneticPr fontId="37"/>
  </si>
  <si>
    <t>非ワンストップ特例</t>
    <rPh sb="0" eb="1">
      <t>ヒ</t>
    </rPh>
    <rPh sb="7" eb="9">
      <t>トクレイ</t>
    </rPh>
    <phoneticPr fontId="37"/>
  </si>
  <si>
    <t>注１）あくまで試算であり、税額控除額を保証するものではありません。御本人様の責任で寄附を行ってください。</t>
    <rPh sb="0" eb="1">
      <t>チュウ</t>
    </rPh>
    <rPh sb="7" eb="9">
      <t>シサン</t>
    </rPh>
    <rPh sb="13" eb="15">
      <t>ゼイガク</t>
    </rPh>
    <rPh sb="15" eb="17">
      <t>コウジョ</t>
    </rPh>
    <rPh sb="17" eb="18">
      <t>ガク</t>
    </rPh>
    <rPh sb="19" eb="21">
      <t>ホショウ</t>
    </rPh>
    <rPh sb="33" eb="37">
      <t>ゴホンニンサマ</t>
    </rPh>
    <rPh sb="38" eb="40">
      <t>セキニン</t>
    </rPh>
    <rPh sb="41" eb="43">
      <t>キフ</t>
    </rPh>
    <rPh sb="44" eb="45">
      <t>オコナ</t>
    </rPh>
    <phoneticPr fontId="37"/>
  </si>
  <si>
    <t>注２）下記の市・県民税の概算に寄附金控除を加える場合は、医療費・寄附金のシートに寄附金額を入力してください。</t>
    <rPh sb="0" eb="1">
      <t>チュウ</t>
    </rPh>
    <rPh sb="3" eb="5">
      <t>カキ</t>
    </rPh>
    <rPh sb="6" eb="7">
      <t>シ</t>
    </rPh>
    <rPh sb="8" eb="11">
      <t>ケンミンゼイ</t>
    </rPh>
    <rPh sb="12" eb="14">
      <t>ガイサン</t>
    </rPh>
    <rPh sb="15" eb="18">
      <t>キフキン</t>
    </rPh>
    <rPh sb="18" eb="20">
      <t>コウジョ</t>
    </rPh>
    <rPh sb="21" eb="22">
      <t>クワ</t>
    </rPh>
    <rPh sb="24" eb="26">
      <t>バアイ</t>
    </rPh>
    <rPh sb="28" eb="31">
      <t>イリョウヒ</t>
    </rPh>
    <rPh sb="32" eb="35">
      <t>キフキン</t>
    </rPh>
    <rPh sb="40" eb="43">
      <t>キフキン</t>
    </rPh>
    <rPh sb="43" eb="44">
      <t>ガク</t>
    </rPh>
    <rPh sb="45" eb="47">
      <t>ニュウリョク</t>
    </rPh>
    <phoneticPr fontId="37"/>
  </si>
  <si>
    <t>注３）配当控除は全て利益の配当等に係る配当所得で、課税総所得金額が1000万円を超えない場合の試算です。</t>
    <rPh sb="0" eb="1">
      <t>チュウ</t>
    </rPh>
    <rPh sb="3" eb="5">
      <t>ハイトウ</t>
    </rPh>
    <rPh sb="5" eb="7">
      <t>コウジョ</t>
    </rPh>
    <rPh sb="8" eb="9">
      <t>スベ</t>
    </rPh>
    <rPh sb="10" eb="12">
      <t>リエキ</t>
    </rPh>
    <rPh sb="13" eb="15">
      <t>ハイトウ</t>
    </rPh>
    <rPh sb="15" eb="16">
      <t>トウ</t>
    </rPh>
    <rPh sb="17" eb="18">
      <t>カカ</t>
    </rPh>
    <rPh sb="19" eb="21">
      <t>ハイトウ</t>
    </rPh>
    <rPh sb="21" eb="23">
      <t>ショトク</t>
    </rPh>
    <rPh sb="25" eb="27">
      <t>カゼイ</t>
    </rPh>
    <rPh sb="27" eb="30">
      <t>ソウショトク</t>
    </rPh>
    <rPh sb="30" eb="32">
      <t>キンガク</t>
    </rPh>
    <rPh sb="37" eb="39">
      <t>マンエン</t>
    </rPh>
    <rPh sb="40" eb="41">
      <t>コ</t>
    </rPh>
    <rPh sb="44" eb="46">
      <t>バアイ</t>
    </rPh>
    <rPh sb="47" eb="49">
      <t>シサン</t>
    </rPh>
    <phoneticPr fontId="37"/>
  </si>
  <si>
    <t>注４）分離課税対象の所得、住宅借入金等特別（住宅ローン）控除、証券投資信託等の配当等所得、損益通算や繰越損失がある人に対応していません。</t>
    <rPh sb="0" eb="1">
      <t>チュウ</t>
    </rPh>
    <rPh sb="3" eb="5">
      <t>ブンリ</t>
    </rPh>
    <rPh sb="5" eb="7">
      <t>カゼイ</t>
    </rPh>
    <rPh sb="7" eb="9">
      <t>タイショウ</t>
    </rPh>
    <rPh sb="10" eb="12">
      <t>ショトク</t>
    </rPh>
    <rPh sb="13" eb="15">
      <t>ジュウタク</t>
    </rPh>
    <rPh sb="15" eb="17">
      <t>カリイレ</t>
    </rPh>
    <rPh sb="17" eb="18">
      <t>キン</t>
    </rPh>
    <rPh sb="18" eb="19">
      <t>トウ</t>
    </rPh>
    <rPh sb="19" eb="21">
      <t>トクベツ</t>
    </rPh>
    <rPh sb="22" eb="24">
      <t>ジュウタク</t>
    </rPh>
    <rPh sb="28" eb="30">
      <t>コウジョ</t>
    </rPh>
    <rPh sb="31" eb="33">
      <t>ショウケン</t>
    </rPh>
    <rPh sb="33" eb="35">
      <t>トウシ</t>
    </rPh>
    <rPh sb="35" eb="37">
      <t>シンタク</t>
    </rPh>
    <rPh sb="37" eb="38">
      <t>トウ</t>
    </rPh>
    <rPh sb="39" eb="41">
      <t>ハイトウ</t>
    </rPh>
    <rPh sb="41" eb="42">
      <t>トウ</t>
    </rPh>
    <rPh sb="42" eb="44">
      <t>ショトク</t>
    </rPh>
    <rPh sb="45" eb="47">
      <t>ソンエキ</t>
    </rPh>
    <rPh sb="47" eb="49">
      <t>ツウサン</t>
    </rPh>
    <rPh sb="50" eb="52">
      <t>クリコシ</t>
    </rPh>
    <rPh sb="52" eb="54">
      <t>ソンシツ</t>
    </rPh>
    <rPh sb="57" eb="58">
      <t>ヒト</t>
    </rPh>
    <rPh sb="59" eb="61">
      <t>タイオウ</t>
    </rPh>
    <phoneticPr fontId="37"/>
  </si>
  <si>
    <t>※4人目以降の16歳未満の扶養親族は2.扶養親族に入力してください。もしくは、印刷後、欄外に追記してください。</t>
    <rPh sb="9" eb="10">
      <t>サイ</t>
    </rPh>
    <rPh sb="10" eb="12">
      <t>ミマン</t>
    </rPh>
    <rPh sb="15" eb="17">
      <t>シンゾク</t>
    </rPh>
    <phoneticPr fontId="37"/>
  </si>
  <si>
    <t>長期譲渡所得と一時所得の和に0.5をかけ、小数点以下を切り下げた額に短期所得を足した金額を返す。
長期譲渡がマイナスのとき、長期譲渡のみ0.5をかけずに足す。</t>
    <rPh sb="0" eb="2">
      <t>チョウキ</t>
    </rPh>
    <rPh sb="2" eb="4">
      <t>ジョウト</t>
    </rPh>
    <rPh sb="4" eb="6">
      <t>ショトク</t>
    </rPh>
    <rPh sb="7" eb="9">
      <t>イチジ</t>
    </rPh>
    <rPh sb="9" eb="11">
      <t>ショトク</t>
    </rPh>
    <rPh sb="12" eb="13">
      <t>ワ</t>
    </rPh>
    <rPh sb="21" eb="24">
      <t>ショウスウテン</t>
    </rPh>
    <rPh sb="24" eb="26">
      <t>イカ</t>
    </rPh>
    <rPh sb="27" eb="28">
      <t>キ</t>
    </rPh>
    <rPh sb="29" eb="30">
      <t>サ</t>
    </rPh>
    <rPh sb="32" eb="33">
      <t>ガク</t>
    </rPh>
    <rPh sb="34" eb="36">
      <t>タンキ</t>
    </rPh>
    <rPh sb="36" eb="38">
      <t>ショトク</t>
    </rPh>
    <rPh sb="39" eb="40">
      <t>タ</t>
    </rPh>
    <rPh sb="42" eb="44">
      <t>キンガク</t>
    </rPh>
    <rPh sb="45" eb="46">
      <t>カエ</t>
    </rPh>
    <rPh sb="49" eb="51">
      <t>チョウキ</t>
    </rPh>
    <rPh sb="51" eb="53">
      <t>ジョウト</t>
    </rPh>
    <rPh sb="62" eb="64">
      <t>チョウキ</t>
    </rPh>
    <rPh sb="64" eb="66">
      <t>ジョウト</t>
    </rPh>
    <rPh sb="76" eb="77">
      <t>タ</t>
    </rPh>
    <phoneticPr fontId="37"/>
  </si>
  <si>
    <t>生命保険料控除（所得税用）</t>
    <rPh sb="0" eb="2">
      <t>セイメイ</t>
    </rPh>
    <rPh sb="2" eb="4">
      <t>ホケン</t>
    </rPh>
    <rPh sb="4" eb="5">
      <t>リョウ</t>
    </rPh>
    <rPh sb="5" eb="7">
      <t>コウジョ</t>
    </rPh>
    <rPh sb="8" eb="11">
      <t>ショトクゼイ</t>
    </rPh>
    <rPh sb="11" eb="12">
      <t>ヨウ</t>
    </rPh>
    <phoneticPr fontId="37"/>
  </si>
  <si>
    <t>地震保険料控除（所得税用）</t>
    <rPh sb="0" eb="2">
      <t>ジシン</t>
    </rPh>
    <rPh sb="2" eb="5">
      <t>ホケンリョウ</t>
    </rPh>
    <rPh sb="5" eb="7">
      <t>コウジョ</t>
    </rPh>
    <rPh sb="8" eb="11">
      <t>ショトクゼイ</t>
    </rPh>
    <rPh sb="11" eb="12">
      <t>ヨウ</t>
    </rPh>
    <phoneticPr fontId="37"/>
  </si>
  <si>
    <t>寡婦・ひとり親控除（所得税用）</t>
    <rPh sb="0" eb="2">
      <t>カフ</t>
    </rPh>
    <rPh sb="6" eb="7">
      <t>オヤ</t>
    </rPh>
    <rPh sb="7" eb="9">
      <t>コウジョ</t>
    </rPh>
    <rPh sb="10" eb="13">
      <t>ショトクゼイ</t>
    </rPh>
    <rPh sb="13" eb="14">
      <t>ヨウ</t>
    </rPh>
    <phoneticPr fontId="37"/>
  </si>
  <si>
    <t>勤労学生控除（所得税用）</t>
    <rPh sb="0" eb="2">
      <t>キンロウ</t>
    </rPh>
    <rPh sb="2" eb="4">
      <t>ガクセイ</t>
    </rPh>
    <rPh sb="4" eb="6">
      <t>コウジョ</t>
    </rPh>
    <rPh sb="7" eb="10">
      <t>ショトクゼイ</t>
    </rPh>
    <rPh sb="10" eb="11">
      <t>ヨウ</t>
    </rPh>
    <phoneticPr fontId="37"/>
  </si>
  <si>
    <t>障害者控除（所得税用）</t>
    <rPh sb="0" eb="3">
      <t>ショウガイシャ</t>
    </rPh>
    <rPh sb="3" eb="5">
      <t>コウジョ</t>
    </rPh>
    <rPh sb="6" eb="9">
      <t>ショトクゼイ</t>
    </rPh>
    <rPh sb="9" eb="10">
      <t>ヨウ</t>
    </rPh>
    <phoneticPr fontId="37"/>
  </si>
  <si>
    <t>配愚者特別控除（所得税用）</t>
    <rPh sb="0" eb="1">
      <t>ハイ</t>
    </rPh>
    <rPh sb="1" eb="3">
      <t>グシャ</t>
    </rPh>
    <rPh sb="3" eb="5">
      <t>トクベツ</t>
    </rPh>
    <rPh sb="5" eb="7">
      <t>コウジョ</t>
    </rPh>
    <rPh sb="8" eb="11">
      <t>ショトクゼイ</t>
    </rPh>
    <rPh sb="11" eb="12">
      <t>ヨウ</t>
    </rPh>
    <phoneticPr fontId="37"/>
  </si>
  <si>
    <t>配偶者控除（所得税用）</t>
    <rPh sb="0" eb="3">
      <t>ハイグウシャ</t>
    </rPh>
    <rPh sb="3" eb="5">
      <t>コウジョ</t>
    </rPh>
    <rPh sb="6" eb="9">
      <t>ショトクゼイ</t>
    </rPh>
    <rPh sb="9" eb="10">
      <t>ヨウ</t>
    </rPh>
    <phoneticPr fontId="37"/>
  </si>
  <si>
    <t>扶養控除（所得税用）</t>
    <rPh sb="0" eb="2">
      <t>フヨウ</t>
    </rPh>
    <rPh sb="2" eb="4">
      <t>コウジョ</t>
    </rPh>
    <rPh sb="5" eb="8">
      <t>ショトクゼイ</t>
    </rPh>
    <rPh sb="8" eb="9">
      <t>ヨウ</t>
    </rPh>
    <phoneticPr fontId="37"/>
  </si>
  <si>
    <t>16歳未満扶養の人数</t>
    <rPh sb="2" eb="5">
      <t>サイミマン</t>
    </rPh>
    <rPh sb="5" eb="7">
      <t>フヨウ</t>
    </rPh>
    <rPh sb="8" eb="10">
      <t>ニンズウ</t>
    </rPh>
    <phoneticPr fontId="37"/>
  </si>
  <si>
    <t>住民税所得割　均等割　非課税判定用</t>
    <rPh sb="0" eb="3">
      <t>ジュウミンゼイ</t>
    </rPh>
    <rPh sb="3" eb="5">
      <t>ショトク</t>
    </rPh>
    <rPh sb="5" eb="6">
      <t>ワリ</t>
    </rPh>
    <rPh sb="7" eb="10">
      <t>キントウワ</t>
    </rPh>
    <rPh sb="11" eb="14">
      <t>ヒカゼイ</t>
    </rPh>
    <rPh sb="14" eb="17">
      <t>ハンテイヨウ</t>
    </rPh>
    <phoneticPr fontId="37"/>
  </si>
  <si>
    <t>未成年に該当するとき1,350,000、該当しない特0</t>
    <rPh sb="0" eb="3">
      <t>ミセイネン</t>
    </rPh>
    <rPh sb="4" eb="6">
      <t>ガイトウ</t>
    </rPh>
    <rPh sb="20" eb="22">
      <t>ガイトウ</t>
    </rPh>
    <rPh sb="25" eb="26">
      <t>トク</t>
    </rPh>
    <phoneticPr fontId="37"/>
  </si>
  <si>
    <t>ひとり親・寡婦に該当するとき1,350,000、該当しない特0</t>
    <rPh sb="3" eb="4">
      <t>オヤ</t>
    </rPh>
    <rPh sb="5" eb="7">
      <t>カフ</t>
    </rPh>
    <rPh sb="8" eb="10">
      <t>ガイトウ</t>
    </rPh>
    <rPh sb="24" eb="26">
      <t>ガイトウ</t>
    </rPh>
    <rPh sb="29" eb="30">
      <t>トク</t>
    </rPh>
    <phoneticPr fontId="37"/>
  </si>
  <si>
    <t>本人障害に該当するとき1,350,000、該当しない特0</t>
    <rPh sb="0" eb="2">
      <t>ホンニン</t>
    </rPh>
    <rPh sb="2" eb="4">
      <t>ショウガイ</t>
    </rPh>
    <rPh sb="5" eb="7">
      <t>ガイトウ</t>
    </rPh>
    <rPh sb="21" eb="23">
      <t>ガイトウ</t>
    </rPh>
    <rPh sb="26" eb="27">
      <t>トク</t>
    </rPh>
    <phoneticPr fontId="37"/>
  </si>
  <si>
    <t>医療費控除</t>
    <rPh sb="0" eb="3">
      <t>イリョウヒ</t>
    </rPh>
    <rPh sb="3" eb="5">
      <t>コウジョ</t>
    </rPh>
    <phoneticPr fontId="37"/>
  </si>
  <si>
    <t>新規作成</t>
    <rPh sb="0" eb="2">
      <t>シンキ</t>
    </rPh>
    <rPh sb="2" eb="4">
      <t>サクセイ</t>
    </rPh>
    <phoneticPr fontId="37"/>
  </si>
  <si>
    <t>公開・非公開を決定していませんが、一通りの住民税試算とふるさと納税試算用のシート作成しました。高崎市のエクセルファイルやサンネット株式会社のサイトを参照して作成。</t>
    <rPh sb="0" eb="2">
      <t>コウカイ</t>
    </rPh>
    <rPh sb="3" eb="6">
      <t>ヒコウカイ</t>
    </rPh>
    <rPh sb="7" eb="9">
      <t>ケッテイ</t>
    </rPh>
    <rPh sb="17" eb="19">
      <t>ヒトトオ</t>
    </rPh>
    <rPh sb="21" eb="24">
      <t>ジュウミンゼイ</t>
    </rPh>
    <rPh sb="24" eb="26">
      <t>シサン</t>
    </rPh>
    <rPh sb="31" eb="33">
      <t>ノウゼイ</t>
    </rPh>
    <rPh sb="33" eb="35">
      <t>シサン</t>
    </rPh>
    <rPh sb="35" eb="36">
      <t>ヨウ</t>
    </rPh>
    <rPh sb="40" eb="42">
      <t>サクセイ</t>
    </rPh>
    <rPh sb="47" eb="50">
      <t>タカサキシ</t>
    </rPh>
    <rPh sb="65" eb="69">
      <t>カブシキガイシャ</t>
    </rPh>
    <rPh sb="74" eb="76">
      <t>サンショウ</t>
    </rPh>
    <rPh sb="78" eb="80">
      <t>サクセイ</t>
    </rPh>
    <phoneticPr fontId="37"/>
  </si>
  <si>
    <t>試算</t>
    <rPh sb="0" eb="2">
      <t>シサン</t>
    </rPh>
    <phoneticPr fontId="37"/>
  </si>
  <si>
    <t>C2</t>
    <phoneticPr fontId="37"/>
  </si>
  <si>
    <t>男女差の人的控除差を税額・ふるさと納税の試算に使用させるために作成。入力しないと人的控除差ゼロで計算される。</t>
    <rPh sb="0" eb="3">
      <t>ダンジョサ</t>
    </rPh>
    <rPh sb="4" eb="6">
      <t>ジンテキ</t>
    </rPh>
    <rPh sb="6" eb="8">
      <t>コウジョ</t>
    </rPh>
    <rPh sb="8" eb="9">
      <t>サ</t>
    </rPh>
    <rPh sb="10" eb="12">
      <t>ゼイガク</t>
    </rPh>
    <rPh sb="17" eb="19">
      <t>ノウゼイ</t>
    </rPh>
    <rPh sb="20" eb="22">
      <t>シサン</t>
    </rPh>
    <rPh sb="23" eb="25">
      <t>シヨウ</t>
    </rPh>
    <rPh sb="31" eb="33">
      <t>サクセイ</t>
    </rPh>
    <rPh sb="34" eb="36">
      <t>ニュウリョク</t>
    </rPh>
    <rPh sb="40" eb="42">
      <t>ジンテキ</t>
    </rPh>
    <rPh sb="42" eb="44">
      <t>コウジョ</t>
    </rPh>
    <rPh sb="44" eb="45">
      <t>サ</t>
    </rPh>
    <rPh sb="48" eb="50">
      <t>ケイサン</t>
    </rPh>
    <phoneticPr fontId="37"/>
  </si>
  <si>
    <t>C4</t>
    <phoneticPr fontId="37"/>
  </si>
  <si>
    <t>市・県民税の非課税判定のための本人障害選択。障害者控除シートに作成しても良かったが、試算シートの公開自体を検討中なので、試算するときに初めて入力する形にした。</t>
    <rPh sb="0" eb="1">
      <t>シ</t>
    </rPh>
    <rPh sb="2" eb="5">
      <t>ケンミンゼイ</t>
    </rPh>
    <rPh sb="6" eb="9">
      <t>ヒカゼイ</t>
    </rPh>
    <rPh sb="9" eb="11">
      <t>ハンテイ</t>
    </rPh>
    <rPh sb="15" eb="17">
      <t>ホンニン</t>
    </rPh>
    <rPh sb="17" eb="19">
      <t>ショウガイ</t>
    </rPh>
    <rPh sb="19" eb="21">
      <t>センタク</t>
    </rPh>
    <rPh sb="22" eb="25">
      <t>ショウガイシャ</t>
    </rPh>
    <rPh sb="25" eb="27">
      <t>コウジョ</t>
    </rPh>
    <rPh sb="31" eb="33">
      <t>サクセイ</t>
    </rPh>
    <rPh sb="36" eb="37">
      <t>ヨ</t>
    </rPh>
    <rPh sb="42" eb="44">
      <t>シサン</t>
    </rPh>
    <rPh sb="48" eb="50">
      <t>コウカイ</t>
    </rPh>
    <rPh sb="50" eb="52">
      <t>ジタイ</t>
    </rPh>
    <rPh sb="53" eb="56">
      <t>ケントウチュウ</t>
    </rPh>
    <rPh sb="60" eb="62">
      <t>シサン</t>
    </rPh>
    <rPh sb="67" eb="68">
      <t>ハジ</t>
    </rPh>
    <rPh sb="70" eb="72">
      <t>ニュウリョク</t>
    </rPh>
    <rPh sb="74" eb="75">
      <t>カタチ</t>
    </rPh>
    <phoneticPr fontId="37"/>
  </si>
  <si>
    <t>C8</t>
    <phoneticPr fontId="37"/>
  </si>
  <si>
    <t>ふるさと納税をして最大限税額控除を受けられる最高額を算出。分離課税・住借等は考慮していない。</t>
    <rPh sb="4" eb="6">
      <t>ノウゼイ</t>
    </rPh>
    <rPh sb="9" eb="11">
      <t>サイダイ</t>
    </rPh>
    <rPh sb="11" eb="12">
      <t>ゲン</t>
    </rPh>
    <rPh sb="12" eb="14">
      <t>ゼイガク</t>
    </rPh>
    <rPh sb="14" eb="16">
      <t>コウジョ</t>
    </rPh>
    <rPh sb="17" eb="18">
      <t>ウ</t>
    </rPh>
    <rPh sb="22" eb="25">
      <t>サイコウガク</t>
    </rPh>
    <rPh sb="26" eb="28">
      <t>サンシュツ</t>
    </rPh>
    <rPh sb="29" eb="31">
      <t>ブンリ</t>
    </rPh>
    <rPh sb="31" eb="33">
      <t>カゼイ</t>
    </rPh>
    <rPh sb="34" eb="36">
      <t>ジュウカリ</t>
    </rPh>
    <rPh sb="36" eb="37">
      <t>トウ</t>
    </rPh>
    <rPh sb="38" eb="40">
      <t>コウリョ</t>
    </rPh>
    <phoneticPr fontId="37"/>
  </si>
  <si>
    <t>C11</t>
    <phoneticPr fontId="37"/>
  </si>
  <si>
    <t>「ふるさと納税の寄附金控除の特例分を計算するときの比率」と「試算した上限額を寄附金控除として申告した場合の所得税率」もしくは「入力した申告書の所得税率」が異なるとき、所得税の確定申告をすると自己負担額が2,000円にならない可能性があることを表示。</t>
    <rPh sb="5" eb="7">
      <t>ノウゼイ</t>
    </rPh>
    <rPh sb="8" eb="11">
      <t>キフキン</t>
    </rPh>
    <rPh sb="11" eb="13">
      <t>コウジョ</t>
    </rPh>
    <rPh sb="14" eb="16">
      <t>トクレイ</t>
    </rPh>
    <rPh sb="16" eb="17">
      <t>ブン</t>
    </rPh>
    <rPh sb="18" eb="20">
      <t>ケイサン</t>
    </rPh>
    <rPh sb="25" eb="27">
      <t>ヒリツ</t>
    </rPh>
    <rPh sb="30" eb="32">
      <t>シサン</t>
    </rPh>
    <rPh sb="34" eb="37">
      <t>ジョウゲンガク</t>
    </rPh>
    <rPh sb="38" eb="41">
      <t>キフキン</t>
    </rPh>
    <rPh sb="41" eb="43">
      <t>コウジョ</t>
    </rPh>
    <rPh sb="46" eb="48">
      <t>シンコク</t>
    </rPh>
    <rPh sb="50" eb="52">
      <t>バアイ</t>
    </rPh>
    <rPh sb="53" eb="55">
      <t>ショトク</t>
    </rPh>
    <rPh sb="55" eb="57">
      <t>ゼイリツ</t>
    </rPh>
    <rPh sb="63" eb="65">
      <t>ニュウリョク</t>
    </rPh>
    <rPh sb="67" eb="70">
      <t>シンコクショ</t>
    </rPh>
    <rPh sb="71" eb="73">
      <t>ショトク</t>
    </rPh>
    <rPh sb="73" eb="75">
      <t>ゼイリツ</t>
    </rPh>
    <rPh sb="77" eb="78">
      <t>コト</t>
    </rPh>
    <rPh sb="83" eb="86">
      <t>ショトクゼイ</t>
    </rPh>
    <rPh sb="87" eb="89">
      <t>カクテイ</t>
    </rPh>
    <rPh sb="89" eb="91">
      <t>シンコク</t>
    </rPh>
    <rPh sb="95" eb="97">
      <t>ジコ</t>
    </rPh>
    <rPh sb="97" eb="99">
      <t>フタン</t>
    </rPh>
    <rPh sb="99" eb="100">
      <t>ガク</t>
    </rPh>
    <rPh sb="106" eb="107">
      <t>エン</t>
    </rPh>
    <rPh sb="112" eb="115">
      <t>カノウセイ</t>
    </rPh>
    <rPh sb="121" eb="123">
      <t>ヒョウジ</t>
    </rPh>
    <phoneticPr fontId="37"/>
  </si>
  <si>
    <t>市県民税の概算</t>
    <rPh sb="0" eb="4">
      <t>シケンミンゼイ</t>
    </rPh>
    <rPh sb="5" eb="7">
      <t>ガイサン</t>
    </rPh>
    <phoneticPr fontId="37"/>
  </si>
  <si>
    <t>表記の通り。高崎市の申告書を参考に作成。配当控除は全て2.8%（所得税の10%）で算出し、課税される所得金額1,000万円以上も考慮していない。寄附金控除は、「医療費・寄附金」に入力した寄附金額を使用し、同シート内のふるさと納税上限額は使用していない。ワンストップ特例は所得税率33%までの人しか使えない制度ですが、</t>
    <rPh sb="0" eb="2">
      <t>ヒョウキ</t>
    </rPh>
    <rPh sb="3" eb="4">
      <t>トオ</t>
    </rPh>
    <rPh sb="6" eb="9">
      <t>タカサキシ</t>
    </rPh>
    <rPh sb="10" eb="13">
      <t>シンコクショ</t>
    </rPh>
    <rPh sb="14" eb="16">
      <t>サンコウ</t>
    </rPh>
    <rPh sb="17" eb="19">
      <t>サクセイ</t>
    </rPh>
    <rPh sb="20" eb="22">
      <t>ハイトウ</t>
    </rPh>
    <rPh sb="22" eb="24">
      <t>コウジョ</t>
    </rPh>
    <rPh sb="25" eb="26">
      <t>スベ</t>
    </rPh>
    <rPh sb="32" eb="35">
      <t>ショトクゼイ</t>
    </rPh>
    <rPh sb="41" eb="43">
      <t>サンシュツ</t>
    </rPh>
    <rPh sb="45" eb="47">
      <t>カゼイ</t>
    </rPh>
    <rPh sb="50" eb="52">
      <t>ショトク</t>
    </rPh>
    <rPh sb="52" eb="54">
      <t>キンガク</t>
    </rPh>
    <rPh sb="59" eb="61">
      <t>マンエン</t>
    </rPh>
    <rPh sb="61" eb="63">
      <t>イジョウ</t>
    </rPh>
    <rPh sb="64" eb="66">
      <t>コウリョ</t>
    </rPh>
    <rPh sb="132" eb="134">
      <t>トクレイ</t>
    </rPh>
    <rPh sb="135" eb="138">
      <t>ショトクゼイ</t>
    </rPh>
    <rPh sb="138" eb="139">
      <t>リツ</t>
    </rPh>
    <rPh sb="145" eb="146">
      <t>ヒト</t>
    </rPh>
    <rPh sb="148" eb="149">
      <t>ツカ</t>
    </rPh>
    <rPh sb="152" eb="154">
      <t>セイド</t>
    </rPh>
    <phoneticPr fontId="37"/>
  </si>
  <si>
    <t>ワンストップ非適用対象</t>
    <rPh sb="6" eb="7">
      <t>ヒ</t>
    </rPh>
    <rPh sb="7" eb="9">
      <t>テキヨウ</t>
    </rPh>
    <rPh sb="9" eb="11">
      <t>タイショウ</t>
    </rPh>
    <phoneticPr fontId="37"/>
  </si>
  <si>
    <t>注５）ワンストップ特例（申告特例）の試算は、適用できる場合のみ参考にしてください。給与収入2,000万円超等に対応していません。</t>
    <rPh sb="0" eb="1">
      <t>チュウ</t>
    </rPh>
    <rPh sb="9" eb="11">
      <t>トクレイ</t>
    </rPh>
    <rPh sb="12" eb="14">
      <t>シンコク</t>
    </rPh>
    <rPh sb="14" eb="16">
      <t>トクレイ</t>
    </rPh>
    <rPh sb="18" eb="20">
      <t>シサン</t>
    </rPh>
    <rPh sb="22" eb="24">
      <t>テキヨウ</t>
    </rPh>
    <rPh sb="27" eb="29">
      <t>バアイ</t>
    </rPh>
    <rPh sb="31" eb="33">
      <t>サンコウ</t>
    </rPh>
    <rPh sb="41" eb="43">
      <t>キュウヨ</t>
    </rPh>
    <rPh sb="43" eb="45">
      <t>シュウニュウ</t>
    </rPh>
    <rPh sb="50" eb="51">
      <t>マン</t>
    </rPh>
    <rPh sb="51" eb="52">
      <t>エン</t>
    </rPh>
    <rPh sb="52" eb="53">
      <t>チョウ</t>
    </rPh>
    <rPh sb="53" eb="54">
      <t>トウ</t>
    </rPh>
    <rPh sb="55" eb="57">
      <t>タイオウ</t>
    </rPh>
    <phoneticPr fontId="37"/>
  </si>
  <si>
    <t>ver.3.0</t>
    <phoneticPr fontId="37"/>
  </si>
  <si>
    <t>令和5年度用として作成（年度更新）。</t>
    <rPh sb="0" eb="2">
      <t>レイワ</t>
    </rPh>
    <rPh sb="3" eb="5">
      <t>ネンド</t>
    </rPh>
    <rPh sb="5" eb="6">
      <t>ヨウ</t>
    </rPh>
    <rPh sb="9" eb="11">
      <t>サクセイ</t>
    </rPh>
    <rPh sb="12" eb="14">
      <t>ネンド</t>
    </rPh>
    <rPh sb="14" eb="16">
      <t>コウシン</t>
    </rPh>
    <phoneticPr fontId="37"/>
  </si>
  <si>
    <t>ver.3.0</t>
    <phoneticPr fontId="37"/>
  </si>
  <si>
    <t>生年月日入力の注意喚起表示条件を簡易的に修正</t>
    <rPh sb="0" eb="2">
      <t>セイネン</t>
    </rPh>
    <rPh sb="2" eb="4">
      <t>ガッピ</t>
    </rPh>
    <rPh sb="4" eb="6">
      <t>ニュウリョク</t>
    </rPh>
    <rPh sb="7" eb="9">
      <t>チュウイ</t>
    </rPh>
    <rPh sb="9" eb="11">
      <t>カンキ</t>
    </rPh>
    <rPh sb="11" eb="13">
      <t>ヒョウジ</t>
    </rPh>
    <rPh sb="13" eb="15">
      <t>ジョウケン</t>
    </rPh>
    <rPh sb="16" eb="18">
      <t>カンイ</t>
    </rPh>
    <rPh sb="18" eb="19">
      <t>テキ</t>
    </rPh>
    <rPh sb="20" eb="22">
      <t>シュウセイ</t>
    </rPh>
    <phoneticPr fontId="37"/>
  </si>
  <si>
    <t>元号・西暦が「選択してください」で生年月日２が空欄のとき、空欄を返す。これに当てはまらず、生年月日が空欄のとき注意喚起を表示する。これに当てはまらないとき空欄を返す。</t>
    <rPh sb="0" eb="2">
      <t>ゲンゴウ</t>
    </rPh>
    <rPh sb="3" eb="5">
      <t>セイレキ</t>
    </rPh>
    <rPh sb="7" eb="9">
      <t>センタク</t>
    </rPh>
    <rPh sb="17" eb="19">
      <t>セイネン</t>
    </rPh>
    <rPh sb="19" eb="21">
      <t>ガッピ</t>
    </rPh>
    <rPh sb="23" eb="25">
      <t>クウラン</t>
    </rPh>
    <rPh sb="29" eb="31">
      <t>クウラン</t>
    </rPh>
    <rPh sb="32" eb="33">
      <t>カエ</t>
    </rPh>
    <rPh sb="38" eb="39">
      <t>ア</t>
    </rPh>
    <rPh sb="45" eb="47">
      <t>セイネン</t>
    </rPh>
    <rPh sb="47" eb="49">
      <t>ガッピ</t>
    </rPh>
    <rPh sb="50" eb="52">
      <t>クウラン</t>
    </rPh>
    <rPh sb="55" eb="57">
      <t>チュウイ</t>
    </rPh>
    <rPh sb="57" eb="59">
      <t>カンキ</t>
    </rPh>
    <rPh sb="60" eb="62">
      <t>ヒョウジ</t>
    </rPh>
    <rPh sb="68" eb="69">
      <t>ア</t>
    </rPh>
    <rPh sb="77" eb="79">
      <t>クウラン</t>
    </rPh>
    <rPh sb="80" eb="81">
      <t>カエ</t>
    </rPh>
    <phoneticPr fontId="37"/>
  </si>
  <si>
    <t>はじめに、配偶者・扶養</t>
    <rPh sb="5" eb="8">
      <t>ハイグウシャ</t>
    </rPh>
    <rPh sb="9" eb="11">
      <t>フヨウ</t>
    </rPh>
    <phoneticPr fontId="37"/>
  </si>
  <si>
    <t>生年月日が正しくない場合の注意喚起を細かく表示していましたが、条件式が長くて煩雑なので、シンプルに同一の注意のみ表示するようにしました。</t>
    <rPh sb="0" eb="2">
      <t>セイネン</t>
    </rPh>
    <rPh sb="2" eb="4">
      <t>ガッピ</t>
    </rPh>
    <rPh sb="5" eb="6">
      <t>タダ</t>
    </rPh>
    <rPh sb="10" eb="12">
      <t>バアイ</t>
    </rPh>
    <rPh sb="13" eb="15">
      <t>チュウイ</t>
    </rPh>
    <rPh sb="15" eb="17">
      <t>カンキ</t>
    </rPh>
    <rPh sb="18" eb="19">
      <t>コマ</t>
    </rPh>
    <rPh sb="21" eb="23">
      <t>ヒョウジ</t>
    </rPh>
    <rPh sb="31" eb="33">
      <t>ジョウケン</t>
    </rPh>
    <rPh sb="33" eb="34">
      <t>シキ</t>
    </rPh>
    <rPh sb="35" eb="36">
      <t>ナガ</t>
    </rPh>
    <rPh sb="38" eb="40">
      <t>ハンザツ</t>
    </rPh>
    <rPh sb="49" eb="51">
      <t>ドウイツ</t>
    </rPh>
    <rPh sb="52" eb="54">
      <t>チュウイ</t>
    </rPh>
    <rPh sb="56" eb="58">
      <t>ヒョウジ</t>
    </rPh>
    <phoneticPr fontId="37"/>
  </si>
  <si>
    <t>ver.3.0</t>
    <phoneticPr fontId="37"/>
  </si>
  <si>
    <t>「公的年金収入の支払金額が分からないとき~」の文言削除に伴い、残っていた計算式中の関連部分を全部削除</t>
    <rPh sb="1" eb="3">
      <t>コウテキ</t>
    </rPh>
    <rPh sb="3" eb="5">
      <t>ネンキン</t>
    </rPh>
    <rPh sb="5" eb="7">
      <t>シュウニュウ</t>
    </rPh>
    <rPh sb="8" eb="10">
      <t>シハライ</t>
    </rPh>
    <rPh sb="10" eb="12">
      <t>キンガク</t>
    </rPh>
    <rPh sb="13" eb="14">
      <t>ワ</t>
    </rPh>
    <rPh sb="23" eb="25">
      <t>モンゴン</t>
    </rPh>
    <rPh sb="25" eb="27">
      <t>サクジョ</t>
    </rPh>
    <rPh sb="28" eb="29">
      <t>トモナ</t>
    </rPh>
    <rPh sb="31" eb="32">
      <t>ノコ</t>
    </rPh>
    <rPh sb="36" eb="39">
      <t>ケイサンシキ</t>
    </rPh>
    <rPh sb="39" eb="40">
      <t>チュウ</t>
    </rPh>
    <rPh sb="41" eb="43">
      <t>カンレン</t>
    </rPh>
    <rPh sb="43" eb="45">
      <t>ブブン</t>
    </rPh>
    <rPh sb="46" eb="48">
      <t>ゼンブ</t>
    </rPh>
    <rPh sb="48" eb="50">
      <t>サクジョ</t>
    </rPh>
    <phoneticPr fontId="37"/>
  </si>
  <si>
    <t>不要なため</t>
    <rPh sb="0" eb="2">
      <t>フヨウ</t>
    </rPh>
    <phoneticPr fontId="37"/>
  </si>
  <si>
    <t>ver.3.0</t>
    <phoneticPr fontId="37"/>
  </si>
  <si>
    <t>Ｈ219の未成年判定年月日を修正</t>
    <rPh sb="5" eb="8">
      <t>ミセイネン</t>
    </rPh>
    <rPh sb="8" eb="10">
      <t>ハンテイ</t>
    </rPh>
    <rPh sb="10" eb="13">
      <t>ネンガッピ</t>
    </rPh>
    <rPh sb="14" eb="16">
      <t>シュウセイ</t>
    </rPh>
    <phoneticPr fontId="37"/>
  </si>
  <si>
    <t>民法改正による成年年齢の引き下げによるもの</t>
    <rPh sb="0" eb="2">
      <t>ミンポウ</t>
    </rPh>
    <rPh sb="2" eb="4">
      <t>カイセイ</t>
    </rPh>
    <rPh sb="7" eb="9">
      <t>セイネン</t>
    </rPh>
    <rPh sb="9" eb="11">
      <t>ネンレイ</t>
    </rPh>
    <rPh sb="12" eb="13">
      <t>ヒ</t>
    </rPh>
    <rPh sb="14" eb="15">
      <t>サ</t>
    </rPh>
    <phoneticPr fontId="37"/>
  </si>
  <si>
    <t>給与などの支払者の「名称」及び「法人番号又は所在地」等</t>
    <rPh sb="0" eb="2">
      <t>キュウヨ</t>
    </rPh>
    <rPh sb="5" eb="7">
      <t>シハライ</t>
    </rPh>
    <rPh sb="7" eb="8">
      <t>シャ</t>
    </rPh>
    <rPh sb="10" eb="12">
      <t>メイショウ</t>
    </rPh>
    <rPh sb="13" eb="14">
      <t>オヨ</t>
    </rPh>
    <rPh sb="16" eb="18">
      <t>ホウジン</t>
    </rPh>
    <rPh sb="18" eb="20">
      <t>バンゴウ</t>
    </rPh>
    <rPh sb="20" eb="21">
      <t>マタ</t>
    </rPh>
    <rPh sb="22" eb="25">
      <t>ショザイチ</t>
    </rPh>
    <rPh sb="26" eb="27">
      <t>ナド</t>
    </rPh>
    <phoneticPr fontId="37"/>
  </si>
  <si>
    <t>支払者の「名称」及び「法人番号又は所在地」等</t>
    <rPh sb="0" eb="2">
      <t>シハライ</t>
    </rPh>
    <rPh sb="2" eb="3">
      <t>シャ</t>
    </rPh>
    <rPh sb="5" eb="7">
      <t>メイショウ</t>
    </rPh>
    <rPh sb="8" eb="9">
      <t>オヨ</t>
    </rPh>
    <rPh sb="11" eb="13">
      <t>ホウジン</t>
    </rPh>
    <rPh sb="13" eb="15">
      <t>バンゴウ</t>
    </rPh>
    <rPh sb="15" eb="16">
      <t>マタ</t>
    </rPh>
    <rPh sb="17" eb="20">
      <t>ショザイチ</t>
    </rPh>
    <rPh sb="21" eb="22">
      <t>ナド</t>
    </rPh>
    <phoneticPr fontId="37"/>
  </si>
  <si>
    <t>ver.3.0.1</t>
    <phoneticPr fontId="37"/>
  </si>
  <si>
    <r>
      <t>給与源泉徴収票がない人は、主な勤務先の情報と月々の収入を入力してください</t>
    </r>
    <r>
      <rPr>
        <b/>
        <sz val="11"/>
        <rFont val="Meiryo UI"/>
        <family val="3"/>
        <charset val="128"/>
      </rPr>
      <t>（1-1の金額と合算して給与収入としますので、1-1と重複した金額を入力しないでください。）</t>
    </r>
    <r>
      <rPr>
        <sz val="11"/>
        <rFont val="Meiryo UI"/>
        <family val="3"/>
        <charset val="128"/>
      </rPr>
      <t>。</t>
    </r>
    <rPh sb="0" eb="2">
      <t>キュウヨ</t>
    </rPh>
    <rPh sb="2" eb="4">
      <t>ゲンセン</t>
    </rPh>
    <rPh sb="4" eb="7">
      <t>チョウシュウヒョウ</t>
    </rPh>
    <rPh sb="10" eb="11">
      <t>ヒト</t>
    </rPh>
    <rPh sb="13" eb="14">
      <t>オモ</t>
    </rPh>
    <rPh sb="15" eb="18">
      <t>キンムサキ</t>
    </rPh>
    <rPh sb="19" eb="21">
      <t>ジョウホウ</t>
    </rPh>
    <rPh sb="22" eb="24">
      <t>ツキヅキ</t>
    </rPh>
    <rPh sb="25" eb="27">
      <t>シュウニュウ</t>
    </rPh>
    <rPh sb="28" eb="30">
      <t>ニュウリョク</t>
    </rPh>
    <rPh sb="41" eb="43">
      <t>キンガク</t>
    </rPh>
    <rPh sb="44" eb="46">
      <t>ガッサン</t>
    </rPh>
    <rPh sb="48" eb="50">
      <t>キュウヨ</t>
    </rPh>
    <rPh sb="50" eb="52">
      <t>シュウニュウ</t>
    </rPh>
    <rPh sb="63" eb="65">
      <t>チョウフク</t>
    </rPh>
    <rPh sb="67" eb="69">
      <t>キンガク</t>
    </rPh>
    <rPh sb="70" eb="72">
      <t>ニュウリョク</t>
    </rPh>
    <phoneticPr fontId="37"/>
  </si>
  <si>
    <t>法令様式の変更のため</t>
    <rPh sb="0" eb="2">
      <t>ホウレイ</t>
    </rPh>
    <rPh sb="2" eb="4">
      <t>ヨウシキ</t>
    </rPh>
    <rPh sb="5" eb="7">
      <t>ヘンコウ</t>
    </rPh>
    <phoneticPr fontId="37"/>
  </si>
  <si>
    <t>２票の「６ 給与（日給）等所得者の収入状況」「９ 配当に関する事項」「１０ 雑所得（公的年金等以外）に関する事項」
について修正。「所得の生ずる場所」→「支払者の名称～～等」</t>
    <rPh sb="1" eb="2">
      <t>ヒョウ</t>
    </rPh>
    <rPh sb="6" eb="8">
      <t>キュウヨ</t>
    </rPh>
    <rPh sb="9" eb="11">
      <t>ニッキュウ</t>
    </rPh>
    <rPh sb="12" eb="13">
      <t>トウ</t>
    </rPh>
    <rPh sb="13" eb="15">
      <t>ショトク</t>
    </rPh>
    <rPh sb="15" eb="16">
      <t>シャ</t>
    </rPh>
    <rPh sb="17" eb="19">
      <t>シュウニュウ</t>
    </rPh>
    <rPh sb="19" eb="21">
      <t>ジョウキョウ</t>
    </rPh>
    <rPh sb="25" eb="27">
      <t>ハイトウ</t>
    </rPh>
    <rPh sb="28" eb="29">
      <t>カン</t>
    </rPh>
    <rPh sb="31" eb="33">
      <t>ジコウ</t>
    </rPh>
    <rPh sb="38" eb="41">
      <t>ザツショトク</t>
    </rPh>
    <rPh sb="42" eb="44">
      <t>コウテキ</t>
    </rPh>
    <rPh sb="44" eb="46">
      <t>ネンキン</t>
    </rPh>
    <rPh sb="46" eb="47">
      <t>トウ</t>
    </rPh>
    <rPh sb="47" eb="49">
      <t>イガイ</t>
    </rPh>
    <rPh sb="51" eb="52">
      <t>カン</t>
    </rPh>
    <rPh sb="54" eb="56">
      <t>ジコウ</t>
    </rPh>
    <rPh sb="62" eb="64">
      <t>シュウセイ</t>
    </rPh>
    <rPh sb="66" eb="68">
      <t>ショトク</t>
    </rPh>
    <rPh sb="69" eb="70">
      <t>ショウ</t>
    </rPh>
    <rPh sb="72" eb="74">
      <t>バショ</t>
    </rPh>
    <rPh sb="77" eb="79">
      <t>シハライ</t>
    </rPh>
    <rPh sb="79" eb="80">
      <t>シャ</t>
    </rPh>
    <rPh sb="81" eb="83">
      <t>メイショウ</t>
    </rPh>
    <rPh sb="85" eb="86">
      <t>トウ</t>
    </rPh>
    <phoneticPr fontId="37"/>
  </si>
  <si>
    <t>申告書</t>
    <rPh sb="0" eb="2">
      <t>シンコク</t>
    </rPh>
    <rPh sb="2" eb="3">
      <t>ショ</t>
    </rPh>
    <phoneticPr fontId="37"/>
  </si>
  <si>
    <t>令和６年１月１日時点の桐生市の住所を入力してください。令和６年１月１日に居住する市町村もしくは特別区に申告します。</t>
    <rPh sb="3" eb="4">
      <t>ネン</t>
    </rPh>
    <rPh sb="5" eb="6">
      <t>ガツ</t>
    </rPh>
    <rPh sb="7" eb="8">
      <t>ニチ</t>
    </rPh>
    <rPh sb="8" eb="10">
      <t>ジテン</t>
    </rPh>
    <rPh sb="11" eb="14">
      <t>キリュウシ</t>
    </rPh>
    <rPh sb="15" eb="17">
      <t>ジュウショ</t>
    </rPh>
    <rPh sb="18" eb="20">
      <t>ニュウリョク</t>
    </rPh>
    <rPh sb="36" eb="38">
      <t>キョジュウ</t>
    </rPh>
    <rPh sb="40" eb="43">
      <t>シチョウソン</t>
    </rPh>
    <rPh sb="47" eb="50">
      <t>トクベツク</t>
    </rPh>
    <rPh sb="51" eb="53">
      <t>シンコク</t>
    </rPh>
    <phoneticPr fontId="37"/>
  </si>
  <si>
    <t>提出日現在の住所が令和６年１月１日と異なる場合に住所を入力してください。転居していない場合は入力する必要ありません。</t>
    <rPh sb="0" eb="2">
      <t>テイシュツ</t>
    </rPh>
    <rPh sb="2" eb="3">
      <t>ビ</t>
    </rPh>
    <rPh sb="3" eb="5">
      <t>ゲンザイ</t>
    </rPh>
    <rPh sb="6" eb="8">
      <t>ジュウショ</t>
    </rPh>
    <rPh sb="18" eb="19">
      <t>コト</t>
    </rPh>
    <rPh sb="21" eb="23">
      <t>バアイ</t>
    </rPh>
    <rPh sb="24" eb="26">
      <t>ジュウショ</t>
    </rPh>
    <rPh sb="27" eb="29">
      <t>ニュウリョク</t>
    </rPh>
    <rPh sb="36" eb="38">
      <t>テンキョ</t>
    </rPh>
    <rPh sb="43" eb="45">
      <t>バアイ</t>
    </rPh>
    <rPh sb="46" eb="48">
      <t>ニュウリョク</t>
    </rPh>
    <rPh sb="50" eb="52">
      <t>ヒツヨウ</t>
    </rPh>
    <phoneticPr fontId="37"/>
  </si>
  <si>
    <t>学生の方は、令和６年１月１日時点の学校名、学年を入力してください。</t>
    <rPh sb="0" eb="2">
      <t>ガクセイ</t>
    </rPh>
    <rPh sb="3" eb="4">
      <t>カタ</t>
    </rPh>
    <rPh sb="14" eb="16">
      <t>ジテン</t>
    </rPh>
    <rPh sb="17" eb="20">
      <t>ガッコウメイ</t>
    </rPh>
    <rPh sb="21" eb="23">
      <t>ガクネン</t>
    </rPh>
    <rPh sb="24" eb="26">
      <t>ニュウリョク</t>
    </rPh>
    <phoneticPr fontId="37"/>
  </si>
  <si>
    <t>ver.4.0</t>
    <phoneticPr fontId="37"/>
  </si>
  <si>
    <t>令和6年度用として作成（年度更新）。</t>
    <rPh sb="0" eb="2">
      <t>レイワ</t>
    </rPh>
    <rPh sb="3" eb="5">
      <t>ネンド</t>
    </rPh>
    <rPh sb="5" eb="6">
      <t>ヨウ</t>
    </rPh>
    <rPh sb="9" eb="11">
      <t>サクセイ</t>
    </rPh>
    <rPh sb="12" eb="14">
      <t>ネンド</t>
    </rPh>
    <rPh sb="14" eb="16">
      <t>コウシン</t>
    </rPh>
    <phoneticPr fontId="37"/>
  </si>
  <si>
    <t>令和５年１２月３１日現在あなたもしくはあなたの控除対象配偶者や扶養親族が障害者もしくは特別障害者に該当するときに適用できます。</t>
    <rPh sb="0" eb="2">
      <t>レイワ</t>
    </rPh>
    <rPh sb="3" eb="4">
      <t>ネン</t>
    </rPh>
    <rPh sb="6" eb="7">
      <t>ガツ</t>
    </rPh>
    <rPh sb="9" eb="10">
      <t>ニチ</t>
    </rPh>
    <rPh sb="10" eb="12">
      <t>ゲンザイ</t>
    </rPh>
    <rPh sb="23" eb="25">
      <t>コウジョ</t>
    </rPh>
    <rPh sb="25" eb="27">
      <t>タイショウ</t>
    </rPh>
    <rPh sb="27" eb="30">
      <t>ハイグウシャ</t>
    </rPh>
    <rPh sb="31" eb="33">
      <t>フヨウ</t>
    </rPh>
    <rPh sb="33" eb="35">
      <t>シンゾク</t>
    </rPh>
    <rPh sb="36" eb="39">
      <t>ショウガイシャ</t>
    </rPh>
    <rPh sb="43" eb="45">
      <t>トクベツ</t>
    </rPh>
    <rPh sb="45" eb="48">
      <t>ショウガイシャ</t>
    </rPh>
    <rPh sb="49" eb="51">
      <t>ガイトウ</t>
    </rPh>
    <rPh sb="56" eb="58">
      <t>テキヨウ</t>
    </rPh>
    <phoneticPr fontId="37"/>
  </si>
  <si>
    <t>（1）生計を一にする子（他の者の同一生計配偶者または扶養親族とされている者を除き、令和５年分の総所得金額等が48万円以下の者に限る。）がいる。</t>
    <phoneticPr fontId="37"/>
  </si>
  <si>
    <t>あなたやあなたと生計を一にする親族が負担すべき社会保険料（国民健康保険税、介護保険料、国民年金、雇用保険など）が該当します。令和５年中にあなたが支払った額のうち、控除とするものについて入力してください。親族が受け取る年金から天引きされている分は対象ではありません。
給与もしくは公的年金の源泉徴収票に記載されている分は、それぞれの源泉徴収票よりの欄に入力してください。給与源泉徴収票の社会保険料欄が二段で記載されている場合、総額から上段の金額を引いて入力してください。上段の金額は、２．小規模企業共済等掛金に入力して下さい。
入力欄が足らない場合やリストにない種類は、「その他」に合計して金額を入力してください。</t>
    <rPh sb="62" eb="64">
      <t>レイワ</t>
    </rPh>
    <rPh sb="65" eb="66">
      <t>ネン</t>
    </rPh>
    <rPh sb="66" eb="67">
      <t>チュウ</t>
    </rPh>
    <rPh sb="76" eb="77">
      <t>ガク</t>
    </rPh>
    <rPh sb="81" eb="83">
      <t>コウジョ</t>
    </rPh>
    <rPh sb="92" eb="94">
      <t>ニュウリョク</t>
    </rPh>
    <rPh sb="101" eb="103">
      <t>シンゾク</t>
    </rPh>
    <rPh sb="104" eb="105">
      <t>ウ</t>
    </rPh>
    <rPh sb="106" eb="107">
      <t>ト</t>
    </rPh>
    <rPh sb="108" eb="110">
      <t>ネンキン</t>
    </rPh>
    <rPh sb="112" eb="114">
      <t>テンビ</t>
    </rPh>
    <rPh sb="120" eb="121">
      <t>ブン</t>
    </rPh>
    <rPh sb="122" eb="124">
      <t>タイショウ</t>
    </rPh>
    <rPh sb="133" eb="135">
      <t>キュウヨ</t>
    </rPh>
    <rPh sb="139" eb="141">
      <t>コウテキ</t>
    </rPh>
    <rPh sb="141" eb="143">
      <t>ネンキン</t>
    </rPh>
    <rPh sb="144" eb="146">
      <t>ゲンセン</t>
    </rPh>
    <rPh sb="146" eb="149">
      <t>チョウシュウヒョウ</t>
    </rPh>
    <rPh sb="150" eb="152">
      <t>キサイ</t>
    </rPh>
    <rPh sb="157" eb="158">
      <t>ブン</t>
    </rPh>
    <rPh sb="165" eb="167">
      <t>ゲンセン</t>
    </rPh>
    <rPh sb="167" eb="170">
      <t>チョウシュウヒョウ</t>
    </rPh>
    <rPh sb="173" eb="174">
      <t>ラン</t>
    </rPh>
    <rPh sb="175" eb="177">
      <t>ニュウリョク</t>
    </rPh>
    <rPh sb="184" eb="186">
      <t>キュウヨ</t>
    </rPh>
    <rPh sb="186" eb="188">
      <t>ゲンセン</t>
    </rPh>
    <rPh sb="188" eb="191">
      <t>チョウシュウヒョウ</t>
    </rPh>
    <rPh sb="192" eb="194">
      <t>シャカイ</t>
    </rPh>
    <rPh sb="194" eb="197">
      <t>ホケンリョウ</t>
    </rPh>
    <rPh sb="197" eb="198">
      <t>ラン</t>
    </rPh>
    <rPh sb="199" eb="201">
      <t>ニダン</t>
    </rPh>
    <rPh sb="202" eb="204">
      <t>キサイ</t>
    </rPh>
    <rPh sb="209" eb="211">
      <t>バアイ</t>
    </rPh>
    <rPh sb="212" eb="214">
      <t>ソウガク</t>
    </rPh>
    <rPh sb="216" eb="218">
      <t>ジョウダン</t>
    </rPh>
    <rPh sb="219" eb="221">
      <t>キンガク</t>
    </rPh>
    <rPh sb="222" eb="223">
      <t>ヒ</t>
    </rPh>
    <rPh sb="225" eb="227">
      <t>ニュウリョク</t>
    </rPh>
    <rPh sb="234" eb="236">
      <t>ジョウダン</t>
    </rPh>
    <rPh sb="237" eb="239">
      <t>キンガク</t>
    </rPh>
    <rPh sb="243" eb="246">
      <t>ショウキボ</t>
    </rPh>
    <rPh sb="246" eb="248">
      <t>キギョウ</t>
    </rPh>
    <rPh sb="248" eb="250">
      <t>キョウサイ</t>
    </rPh>
    <rPh sb="250" eb="251">
      <t>トウ</t>
    </rPh>
    <rPh sb="251" eb="253">
      <t>カケキン</t>
    </rPh>
    <rPh sb="254" eb="256">
      <t>ニュウリョク</t>
    </rPh>
    <rPh sb="258" eb="259">
      <t>クダ</t>
    </rPh>
    <rPh sb="263" eb="265">
      <t>ニュウリョク</t>
    </rPh>
    <rPh sb="265" eb="266">
      <t>ラン</t>
    </rPh>
    <rPh sb="267" eb="268">
      <t>タ</t>
    </rPh>
    <rPh sb="271" eb="273">
      <t>バアイ</t>
    </rPh>
    <rPh sb="280" eb="282">
      <t>シュルイ</t>
    </rPh>
    <rPh sb="287" eb="288">
      <t>タ</t>
    </rPh>
    <rPh sb="290" eb="292">
      <t>ゴウケイ</t>
    </rPh>
    <rPh sb="294" eb="296">
      <t>キンガク</t>
    </rPh>
    <rPh sb="297" eb="299">
      <t>ニュウリョク</t>
    </rPh>
    <phoneticPr fontId="37"/>
  </si>
  <si>
    <t>小規模企業共済の掛け金や個人型確定拠出年金（iDeCo）の掛け金などが該当します。
令和５年中に支払ったあなたの掛け金の種類と金額を入力してください。
給与源泉徴収票の場合、社会保険料欄に二段で記載されている上段がこれに該当します。</t>
    <rPh sb="0" eb="3">
      <t>ショウキボ</t>
    </rPh>
    <rPh sb="3" eb="5">
      <t>キギョウ</t>
    </rPh>
    <rPh sb="5" eb="7">
      <t>キョウサイ</t>
    </rPh>
    <rPh sb="8" eb="9">
      <t>カ</t>
    </rPh>
    <rPh sb="10" eb="11">
      <t>キン</t>
    </rPh>
    <rPh sb="12" eb="15">
      <t>コジンガタ</t>
    </rPh>
    <rPh sb="15" eb="17">
      <t>カクテイ</t>
    </rPh>
    <rPh sb="17" eb="19">
      <t>キョシュツ</t>
    </rPh>
    <rPh sb="19" eb="21">
      <t>ネンキン</t>
    </rPh>
    <rPh sb="29" eb="30">
      <t>カ</t>
    </rPh>
    <rPh sb="31" eb="32">
      <t>キン</t>
    </rPh>
    <rPh sb="35" eb="37">
      <t>ガイトウ</t>
    </rPh>
    <rPh sb="42" eb="44">
      <t>レイワ</t>
    </rPh>
    <rPh sb="45" eb="46">
      <t>ネン</t>
    </rPh>
    <rPh sb="46" eb="47">
      <t>チュウ</t>
    </rPh>
    <rPh sb="48" eb="50">
      <t>シハラ</t>
    </rPh>
    <rPh sb="56" eb="57">
      <t>カ</t>
    </rPh>
    <rPh sb="58" eb="59">
      <t>キン</t>
    </rPh>
    <rPh sb="60" eb="62">
      <t>シュルイ</t>
    </rPh>
    <rPh sb="63" eb="65">
      <t>キンガク</t>
    </rPh>
    <rPh sb="66" eb="68">
      <t>ニュウリョク</t>
    </rPh>
    <rPh sb="76" eb="78">
      <t>キュウヨ</t>
    </rPh>
    <rPh sb="78" eb="80">
      <t>ゲンセン</t>
    </rPh>
    <rPh sb="80" eb="83">
      <t>チョウシュウヒョウ</t>
    </rPh>
    <rPh sb="84" eb="86">
      <t>バアイ</t>
    </rPh>
    <phoneticPr fontId="37"/>
  </si>
  <si>
    <t>令和５年中に支払ったあなたやあなたと生計を一にする親族を受取人とする生命保険料・介護保険料・個人年金保険料が該当します。
生命保険会社等が発行する証明書をもとに各種保険料の支払金額総計を入力してください。生命保険及び個人年金保険にはそれぞれ新制度・旧制度があります。生命保険会社等が発行する証明書に記載されていますので、確認して入力して下さい。</t>
    <rPh sb="0" eb="2">
      <t>レイワ</t>
    </rPh>
    <rPh sb="3" eb="4">
      <t>ネン</t>
    </rPh>
    <rPh sb="4" eb="5">
      <t>チュウ</t>
    </rPh>
    <rPh sb="6" eb="8">
      <t>シハラ</t>
    </rPh>
    <rPh sb="18" eb="20">
      <t>セイケイ</t>
    </rPh>
    <rPh sb="21" eb="22">
      <t>イツ</t>
    </rPh>
    <rPh sb="25" eb="27">
      <t>シンゾク</t>
    </rPh>
    <rPh sb="28" eb="30">
      <t>ウケトリ</t>
    </rPh>
    <rPh sb="30" eb="31">
      <t>ニン</t>
    </rPh>
    <rPh sb="34" eb="36">
      <t>セイメイ</t>
    </rPh>
    <rPh sb="36" eb="38">
      <t>ホケン</t>
    </rPh>
    <rPh sb="38" eb="39">
      <t>リョウ</t>
    </rPh>
    <rPh sb="40" eb="42">
      <t>カイゴ</t>
    </rPh>
    <rPh sb="42" eb="45">
      <t>ホケンリョウ</t>
    </rPh>
    <rPh sb="46" eb="48">
      <t>コジン</t>
    </rPh>
    <rPh sb="48" eb="50">
      <t>ネンキン</t>
    </rPh>
    <rPh sb="50" eb="52">
      <t>ホケン</t>
    </rPh>
    <rPh sb="52" eb="53">
      <t>リョウ</t>
    </rPh>
    <rPh sb="54" eb="56">
      <t>ガイトウ</t>
    </rPh>
    <rPh sb="61" eb="63">
      <t>セイメイ</t>
    </rPh>
    <rPh sb="63" eb="65">
      <t>ホケン</t>
    </rPh>
    <rPh sb="65" eb="67">
      <t>ガイシャ</t>
    </rPh>
    <rPh sb="67" eb="68">
      <t>トウ</t>
    </rPh>
    <rPh sb="69" eb="71">
      <t>ハッコウ</t>
    </rPh>
    <rPh sb="73" eb="76">
      <t>ショウメイショ</t>
    </rPh>
    <rPh sb="80" eb="82">
      <t>カクシュ</t>
    </rPh>
    <rPh sb="82" eb="85">
      <t>ホケンリョウ</t>
    </rPh>
    <rPh sb="86" eb="88">
      <t>シハライ</t>
    </rPh>
    <rPh sb="88" eb="90">
      <t>キンガク</t>
    </rPh>
    <rPh sb="90" eb="92">
      <t>ソウケイ</t>
    </rPh>
    <rPh sb="93" eb="95">
      <t>ニュウリョク</t>
    </rPh>
    <rPh sb="102" eb="104">
      <t>セイメイ</t>
    </rPh>
    <rPh sb="104" eb="106">
      <t>ホケン</t>
    </rPh>
    <rPh sb="106" eb="107">
      <t>オヨ</t>
    </rPh>
    <rPh sb="108" eb="110">
      <t>コジン</t>
    </rPh>
    <rPh sb="110" eb="112">
      <t>ネンキン</t>
    </rPh>
    <rPh sb="112" eb="114">
      <t>ホケン</t>
    </rPh>
    <rPh sb="120" eb="123">
      <t>シンセイド</t>
    </rPh>
    <rPh sb="124" eb="127">
      <t>キュウセイド</t>
    </rPh>
    <rPh sb="133" eb="135">
      <t>セイメイ</t>
    </rPh>
    <rPh sb="135" eb="137">
      <t>ホケン</t>
    </rPh>
    <rPh sb="137" eb="139">
      <t>ガイシャ</t>
    </rPh>
    <rPh sb="139" eb="140">
      <t>トウ</t>
    </rPh>
    <rPh sb="141" eb="143">
      <t>ハッコウ</t>
    </rPh>
    <rPh sb="145" eb="148">
      <t>ショウメイショ</t>
    </rPh>
    <rPh sb="149" eb="151">
      <t>キサイ</t>
    </rPh>
    <rPh sb="160" eb="162">
      <t>カクニン</t>
    </rPh>
    <rPh sb="164" eb="166">
      <t>ニュウリョク</t>
    </rPh>
    <rPh sb="168" eb="169">
      <t>クダ</t>
    </rPh>
    <phoneticPr fontId="37"/>
  </si>
  <si>
    <t>令和５年１２月３１日現在あなたと生計を一にする合計所得金額48万円以下の１６歳未満の親族で、他の人の控除対象配偶者や扶養親族、専従者となっていない人が対象です。扶養控除の対象にはなりませんが、住民税非課税判定等の扶養親族数には算入されます。扶養している方の氏名・生年月日を入力し、同居している場合は「同居」を、別居している場合は「別居」を選択し、その方の住所を入力してください。</t>
    <rPh sb="0" eb="2">
      <t>レイワ</t>
    </rPh>
    <rPh sb="3" eb="4">
      <t>ネン</t>
    </rPh>
    <rPh sb="6" eb="7">
      <t>ガツ</t>
    </rPh>
    <rPh sb="9" eb="10">
      <t>ニチ</t>
    </rPh>
    <rPh sb="10" eb="12">
      <t>ゲンザイ</t>
    </rPh>
    <rPh sb="16" eb="18">
      <t>セイケイ</t>
    </rPh>
    <rPh sb="19" eb="20">
      <t>イツ</t>
    </rPh>
    <rPh sb="33" eb="35">
      <t>イカ</t>
    </rPh>
    <rPh sb="42" eb="44">
      <t>シンゾク</t>
    </rPh>
    <rPh sb="46" eb="47">
      <t>ホカ</t>
    </rPh>
    <rPh sb="48" eb="49">
      <t>ヒト</t>
    </rPh>
    <rPh sb="50" eb="52">
      <t>コウジョ</t>
    </rPh>
    <rPh sb="52" eb="54">
      <t>タイショウ</t>
    </rPh>
    <rPh sb="54" eb="57">
      <t>ハイグウシャ</t>
    </rPh>
    <rPh sb="58" eb="60">
      <t>フヨウ</t>
    </rPh>
    <rPh sb="60" eb="62">
      <t>シンゾク</t>
    </rPh>
    <rPh sb="63" eb="66">
      <t>センジュウシャ</t>
    </rPh>
    <rPh sb="73" eb="74">
      <t>ヒト</t>
    </rPh>
    <rPh sb="75" eb="77">
      <t>タイショウ</t>
    </rPh>
    <phoneticPr fontId="37"/>
  </si>
  <si>
    <t>令和５年１２月３１日現在、あなたと生計を一にする合計所得金額48万円以下の１６歳以上の親族で、他の人の控除対象配偶者や扶養親族、専従者となっていない人について扶養控除を適用できます。　※5人目以降の扶養親族は印刷後、欄外に追記してください。追記された内容に基づいて市で控除額を修正します。</t>
    <rPh sb="0" eb="2">
      <t>レイワ</t>
    </rPh>
    <rPh sb="3" eb="4">
      <t>ネン</t>
    </rPh>
    <rPh sb="6" eb="7">
      <t>ガツ</t>
    </rPh>
    <rPh sb="9" eb="10">
      <t>ニチ</t>
    </rPh>
    <rPh sb="10" eb="12">
      <t>ゲンザイ</t>
    </rPh>
    <rPh sb="17" eb="19">
      <t>セイケイ</t>
    </rPh>
    <rPh sb="20" eb="21">
      <t>イツ</t>
    </rPh>
    <rPh sb="34" eb="36">
      <t>イカ</t>
    </rPh>
    <rPh sb="39" eb="42">
      <t>サイイジョウ</t>
    </rPh>
    <rPh sb="43" eb="45">
      <t>シンゾク</t>
    </rPh>
    <rPh sb="47" eb="48">
      <t>ホカ</t>
    </rPh>
    <rPh sb="49" eb="50">
      <t>ヒト</t>
    </rPh>
    <rPh sb="51" eb="53">
      <t>コウジョ</t>
    </rPh>
    <rPh sb="53" eb="55">
      <t>タイショウ</t>
    </rPh>
    <rPh sb="55" eb="58">
      <t>ハイグウシャ</t>
    </rPh>
    <rPh sb="59" eb="61">
      <t>フヨウ</t>
    </rPh>
    <rPh sb="61" eb="63">
      <t>シンゾク</t>
    </rPh>
    <rPh sb="64" eb="67">
      <t>センジュウシャ</t>
    </rPh>
    <rPh sb="74" eb="75">
      <t>ヒト</t>
    </rPh>
    <rPh sb="79" eb="81">
      <t>フヨウ</t>
    </rPh>
    <rPh sb="81" eb="83">
      <t>コウジョ</t>
    </rPh>
    <rPh sb="84" eb="86">
      <t>テキヨウ</t>
    </rPh>
    <rPh sb="94" eb="95">
      <t>ニン</t>
    </rPh>
    <rPh sb="95" eb="96">
      <t>メ</t>
    </rPh>
    <rPh sb="96" eb="98">
      <t>イコウ</t>
    </rPh>
    <rPh sb="99" eb="101">
      <t>フヨウ</t>
    </rPh>
    <rPh sb="101" eb="103">
      <t>シンゾク</t>
    </rPh>
    <rPh sb="104" eb="106">
      <t>インサツ</t>
    </rPh>
    <rPh sb="106" eb="107">
      <t>ゴ</t>
    </rPh>
    <rPh sb="108" eb="110">
      <t>ランガイ</t>
    </rPh>
    <rPh sb="111" eb="113">
      <t>ツイキ</t>
    </rPh>
    <rPh sb="120" eb="122">
      <t>ツイキ</t>
    </rPh>
    <rPh sb="125" eb="127">
      <t>ナイヨウ</t>
    </rPh>
    <rPh sb="128" eb="129">
      <t>モト</t>
    </rPh>
    <rPh sb="132" eb="133">
      <t>シ</t>
    </rPh>
    <rPh sb="134" eb="136">
      <t>コウジョ</t>
    </rPh>
    <rPh sb="136" eb="137">
      <t>ガク</t>
    </rPh>
    <rPh sb="138" eb="140">
      <t>シュウセイ</t>
    </rPh>
    <phoneticPr fontId="37"/>
  </si>
  <si>
    <t>令和５年中に支払ったあなたやあなたと生計を一にする親族の地震保険料・旧長期損害保険料が該当します。保険会社等が発行する証明書をもとに各種保険料の支払金額を入力してください。</t>
    <rPh sb="28" eb="30">
      <t>ジシン</t>
    </rPh>
    <rPh sb="30" eb="33">
      <t>ホケンリョウ</t>
    </rPh>
    <rPh sb="34" eb="35">
      <t>キュウ</t>
    </rPh>
    <rPh sb="35" eb="37">
      <t>チョウキ</t>
    </rPh>
    <rPh sb="37" eb="39">
      <t>ソンガイ</t>
    </rPh>
    <rPh sb="39" eb="41">
      <t>ホケン</t>
    </rPh>
    <rPh sb="41" eb="42">
      <t>リョウ</t>
    </rPh>
    <rPh sb="43" eb="45">
      <t>ガイトウ</t>
    </rPh>
    <rPh sb="49" eb="51">
      <t>ホケン</t>
    </rPh>
    <rPh sb="51" eb="53">
      <t>ガイシャ</t>
    </rPh>
    <rPh sb="53" eb="54">
      <t>トウ</t>
    </rPh>
    <rPh sb="55" eb="57">
      <t>ハッコウ</t>
    </rPh>
    <rPh sb="59" eb="62">
      <t>ショウメイショ</t>
    </rPh>
    <rPh sb="66" eb="68">
      <t>カクシュ</t>
    </rPh>
    <rPh sb="68" eb="71">
      <t>ホケンリョウ</t>
    </rPh>
    <rPh sb="72" eb="74">
      <t>シハライ</t>
    </rPh>
    <rPh sb="74" eb="76">
      <t>キンガク</t>
    </rPh>
    <rPh sb="77" eb="79">
      <t>ニュウリョク</t>
    </rPh>
    <phoneticPr fontId="37"/>
  </si>
  <si>
    <t>令和　６　年度（令和　５　年分）市民税・県民税申告書</t>
    <phoneticPr fontId="2" type="noConversion"/>
  </si>
  <si>
    <t>別居の扶養親族等がいる場合には、裏面「14」に氏名、個人番号、住所及び国外居住者である場合は区分を記入してください。</t>
    <phoneticPr fontId="37"/>
  </si>
  <si>
    <t>国外扶養状況</t>
    <rPh sb="0" eb="2">
      <t>コクガイ</t>
    </rPh>
    <rPh sb="2" eb="4">
      <t>フヨウ</t>
    </rPh>
    <rPh sb="4" eb="6">
      <t>ジョウキョウ</t>
    </rPh>
    <phoneticPr fontId="37"/>
  </si>
  <si>
    <r>
      <t>リストから選択（同居、同居尊属、別居）。別居のときにHIセルに住所を記入させるセルを表示</t>
    </r>
    <r>
      <rPr>
        <sz val="10.5"/>
        <color rgb="FFFF0000"/>
        <rFont val="Meiryo UI"/>
        <family val="3"/>
        <charset val="128"/>
      </rPr>
      <t>　R5.11.2　扶養（国外）追加。洗濯時に別居CDセルに状況を選択させるセルを表示</t>
    </r>
    <rPh sb="5" eb="7">
      <t>センタク</t>
    </rPh>
    <rPh sb="8" eb="10">
      <t>ドウキョ</t>
    </rPh>
    <rPh sb="11" eb="13">
      <t>ドウキョ</t>
    </rPh>
    <rPh sb="13" eb="15">
      <t>ソンゾク</t>
    </rPh>
    <rPh sb="16" eb="18">
      <t>ベッキョ</t>
    </rPh>
    <rPh sb="20" eb="22">
      <t>ベッキョ</t>
    </rPh>
    <rPh sb="31" eb="33">
      <t>ジュウショ</t>
    </rPh>
    <rPh sb="34" eb="36">
      <t>キニュウ</t>
    </rPh>
    <rPh sb="42" eb="44">
      <t>ヒョウジ</t>
    </rPh>
    <rPh sb="53" eb="55">
      <t>フヨウ</t>
    </rPh>
    <rPh sb="56" eb="58">
      <t>コクガイ</t>
    </rPh>
    <rPh sb="59" eb="61">
      <t>ツイカ</t>
    </rPh>
    <rPh sb="62" eb="64">
      <t>センタク</t>
    </rPh>
    <rPh sb="64" eb="65">
      <t>ジ</t>
    </rPh>
    <rPh sb="66" eb="68">
      <t>ベッキョ</t>
    </rPh>
    <rPh sb="73" eb="75">
      <t>ジョウキョウ</t>
    </rPh>
    <rPh sb="76" eb="78">
      <t>センタク</t>
    </rPh>
    <rPh sb="84" eb="86">
      <t>ヒョウジ</t>
    </rPh>
    <phoneticPr fontId="37"/>
  </si>
  <si>
    <t>D16,21,26,31</t>
    <phoneticPr fontId="37"/>
  </si>
  <si>
    <r>
      <t>リストから選択（同居、同居尊属、別居）。別居のときにHIセルに住所を記入させるセルを表示</t>
    </r>
    <r>
      <rPr>
        <sz val="10.5"/>
        <color rgb="FFFF0000"/>
        <rFont val="Meiryo UI"/>
        <family val="3"/>
        <charset val="128"/>
      </rPr>
      <t xml:space="preserve"> R5.11.2　扶養（国外）追加。洗濯時に別居CDセルに状況を選択させるセルを表示</t>
    </r>
    <rPh sb="5" eb="7">
      <t>センタク</t>
    </rPh>
    <rPh sb="8" eb="10">
      <t>ドウキョ</t>
    </rPh>
    <rPh sb="11" eb="13">
      <t>ドウキョ</t>
    </rPh>
    <rPh sb="13" eb="15">
      <t>ソンゾク</t>
    </rPh>
    <rPh sb="16" eb="18">
      <t>ベッキョ</t>
    </rPh>
    <rPh sb="20" eb="22">
      <t>ベッキョ</t>
    </rPh>
    <rPh sb="31" eb="33">
      <t>ジュウショ</t>
    </rPh>
    <rPh sb="34" eb="36">
      <t>キニュウ</t>
    </rPh>
    <rPh sb="42" eb="44">
      <t>ヒョウジ</t>
    </rPh>
    <phoneticPr fontId="37"/>
  </si>
  <si>
    <t>D35,36,39,40,43,44</t>
    <phoneticPr fontId="37"/>
  </si>
  <si>
    <t>D41,46,50</t>
    <phoneticPr fontId="37"/>
  </si>
  <si>
    <t>D17,22,27,33</t>
    <phoneticPr fontId="37"/>
  </si>
  <si>
    <t>国外扶養者について</t>
    <rPh sb="0" eb="2">
      <t>コクガイ</t>
    </rPh>
    <rPh sb="2" eb="4">
      <t>フヨウ</t>
    </rPh>
    <rPh sb="4" eb="5">
      <t>シャ</t>
    </rPh>
    <phoneticPr fontId="37"/>
  </si>
  <si>
    <t>D42,47,51</t>
    <phoneticPr fontId="37"/>
  </si>
  <si>
    <t xml:space="preserve"> R5.11.2　リストから選択（30歳未満もしくは70歳以上である）</t>
    <rPh sb="14" eb="16">
      <t>センタク</t>
    </rPh>
    <phoneticPr fontId="37"/>
  </si>
  <si>
    <t xml:space="preserve"> R5.11.2　リストから選択（被扶養者が国外に居住している場合は選択,　配偶者である,　30歳未満もしくは70歳以上である,　留学している,　障害者である,　年間38万円以上の仕送りをしている）</t>
    <rPh sb="14" eb="16">
      <t>センタク</t>
    </rPh>
    <phoneticPr fontId="37"/>
  </si>
  <si>
    <t>配偶者・扶養</t>
    <rPh sb="0" eb="3">
      <t>ハイグウシャ</t>
    </rPh>
    <rPh sb="4" eb="6">
      <t>フヨウ</t>
    </rPh>
    <phoneticPr fontId="37"/>
  </si>
  <si>
    <t>国外扶養者の状況についての項目を追加（同居・別居のプルダウンへ追加。および状況選択のプルダウン追加）</t>
    <rPh sb="0" eb="2">
      <t>コクガイ</t>
    </rPh>
    <rPh sb="2" eb="4">
      <t>フヨウ</t>
    </rPh>
    <rPh sb="4" eb="5">
      <t>シャ</t>
    </rPh>
    <rPh sb="6" eb="8">
      <t>ジョウキョウ</t>
    </rPh>
    <rPh sb="13" eb="15">
      <t>コウモク</t>
    </rPh>
    <rPh sb="16" eb="18">
      <t>ツイカ</t>
    </rPh>
    <rPh sb="19" eb="21">
      <t>ドウキョ</t>
    </rPh>
    <rPh sb="22" eb="24">
      <t>ベッキョ</t>
    </rPh>
    <rPh sb="31" eb="33">
      <t>ツイカ</t>
    </rPh>
    <rPh sb="37" eb="39">
      <t>ジョウキョウ</t>
    </rPh>
    <rPh sb="39" eb="41">
      <t>センタク</t>
    </rPh>
    <rPh sb="47" eb="49">
      <t>ツイカ</t>
    </rPh>
    <phoneticPr fontId="37"/>
  </si>
  <si>
    <t>KLM22～32</t>
    <phoneticPr fontId="37"/>
  </si>
  <si>
    <t>配当割控除</t>
    <rPh sb="0" eb="2">
      <t>ハイトウ</t>
    </rPh>
    <rPh sb="2" eb="3">
      <t>ワリ</t>
    </rPh>
    <rPh sb="3" eb="5">
      <t>コウジョ</t>
    </rPh>
    <phoneticPr fontId="37"/>
  </si>
  <si>
    <t>R5.11.2　全削除</t>
    <rPh sb="8" eb="11">
      <t>ゼンサクジョ</t>
    </rPh>
    <phoneticPr fontId="37"/>
  </si>
  <si>
    <t>国外扶養者の状況</t>
    <rPh sb="0" eb="2">
      <t>コクガイ</t>
    </rPh>
    <rPh sb="2" eb="4">
      <t>フヨウ</t>
    </rPh>
    <rPh sb="4" eb="5">
      <t>シャ</t>
    </rPh>
    <rPh sb="6" eb="8">
      <t>ジョウキョウ</t>
    </rPh>
    <phoneticPr fontId="37"/>
  </si>
  <si>
    <t>１６　所得金額調整控除に関する事項</t>
    <rPh sb="3" eb="5">
      <t>ショトク</t>
    </rPh>
    <rPh sb="5" eb="7">
      <t>キンガク</t>
    </rPh>
    <rPh sb="7" eb="9">
      <t>チョウセイ</t>
    </rPh>
    <rPh sb="9" eb="11">
      <t>コウジョ</t>
    </rPh>
    <rPh sb="12" eb="13">
      <t>カン</t>
    </rPh>
    <rPh sb="15" eb="17">
      <t>ジコウ</t>
    </rPh>
    <phoneticPr fontId="37"/>
  </si>
  <si>
    <t>国外居住</t>
    <phoneticPr fontId="37"/>
  </si>
  <si>
    <t>国外居住</t>
    <phoneticPr fontId="37"/>
  </si>
  <si>
    <t>表示</t>
    <rPh sb="0" eb="2">
      <t>ヒョウジ</t>
    </rPh>
    <phoneticPr fontId="37"/>
  </si>
  <si>
    <t>国外扶養状況の選択をもとに、申告書チェック欄のの表示を選択</t>
    <rPh sb="0" eb="2">
      <t>コクガイ</t>
    </rPh>
    <rPh sb="2" eb="4">
      <t>フヨウ</t>
    </rPh>
    <rPh sb="4" eb="6">
      <t>ジョウキョウ</t>
    </rPh>
    <rPh sb="7" eb="9">
      <t>センタク</t>
    </rPh>
    <rPh sb="14" eb="16">
      <t>シンコク</t>
    </rPh>
    <rPh sb="16" eb="17">
      <t>ショ</t>
    </rPh>
    <rPh sb="21" eb="22">
      <t>ラン</t>
    </rPh>
    <rPh sb="24" eb="26">
      <t>ヒョウジ</t>
    </rPh>
    <rPh sb="27" eb="29">
      <t>センタク</t>
    </rPh>
    <phoneticPr fontId="37"/>
  </si>
  <si>
    <t>別居（国外）を選択した人の国外扶養状況を表示</t>
    <rPh sb="0" eb="2">
      <t>ベッキョ</t>
    </rPh>
    <rPh sb="3" eb="5">
      <t>コクガイ</t>
    </rPh>
    <rPh sb="7" eb="9">
      <t>センタク</t>
    </rPh>
    <rPh sb="11" eb="12">
      <t>ヒト</t>
    </rPh>
    <rPh sb="13" eb="15">
      <t>コクガイ</t>
    </rPh>
    <rPh sb="15" eb="17">
      <t>フヨウ</t>
    </rPh>
    <rPh sb="17" eb="19">
      <t>ジョウキョウ</t>
    </rPh>
    <rPh sb="20" eb="22">
      <t>ヒョウジ</t>
    </rPh>
    <phoneticPr fontId="37"/>
  </si>
  <si>
    <t xml:space="preserve"> </t>
    <phoneticPr fontId="37"/>
  </si>
  <si>
    <t>被扶養者が別居の場合（含む国外扶養）</t>
    <rPh sb="0" eb="4">
      <t>ヒフヨウシャ</t>
    </rPh>
    <rPh sb="5" eb="7">
      <t>ベッキョ</t>
    </rPh>
    <rPh sb="8" eb="10">
      <t>バアイ</t>
    </rPh>
    <rPh sb="11" eb="12">
      <t>フク</t>
    </rPh>
    <rPh sb="13" eb="15">
      <t>コクガイ</t>
    </rPh>
    <rPh sb="15" eb="17">
      <t>フヨウ</t>
    </rPh>
    <phoneticPr fontId="37"/>
  </si>
  <si>
    <t>状況</t>
    <rPh sb="0" eb="2">
      <t>ジョウキョウ</t>
    </rPh>
    <phoneticPr fontId="37"/>
  </si>
  <si>
    <t>扶養種類</t>
    <rPh sb="0" eb="2">
      <t>フヨウ</t>
    </rPh>
    <rPh sb="2" eb="4">
      <t>シュルイ</t>
    </rPh>
    <phoneticPr fontId="37"/>
  </si>
  <si>
    <t xml:space="preserve">   ・  ・</t>
  </si>
  <si>
    <t xml:space="preserve">   ・  ・</t>
    <phoneticPr fontId="37"/>
  </si>
  <si>
    <t>配偶者</t>
    <rPh sb="0" eb="3">
      <t>ハイグウシャ</t>
    </rPh>
    <phoneticPr fontId="37"/>
  </si>
  <si>
    <t>扶養</t>
    <rPh sb="0" eb="2">
      <t>フヨウ</t>
    </rPh>
    <phoneticPr fontId="37"/>
  </si>
  <si>
    <t>１２ 事業専従者に関する事項</t>
    <phoneticPr fontId="37"/>
  </si>
  <si>
    <t>国外扶養者の条件</t>
    <rPh sb="0" eb="2">
      <t>コクガイ</t>
    </rPh>
    <rPh sb="2" eb="4">
      <t>フヨウ</t>
    </rPh>
    <rPh sb="4" eb="5">
      <t>シャ</t>
    </rPh>
    <rPh sb="6" eb="8">
      <t>ジョウケン</t>
    </rPh>
    <phoneticPr fontId="37"/>
  </si>
  <si>
    <t>扶養している方の氏名・生年月日を入力してください。また、扶養している方があなたやあなたの配偶者の父母・祖父母などで、同居する場合は「同居（直系尊属）」、それ以外で同居している場合は「同居」を選択してください（同居老親控除の判定に使います）。扶養している方と別居している場合は「別居」を選択し、その方の住所を入力してください。
扶養している方が国外に居住している場合は、扶養の条件に該当しなければ控除を適応できません。該当する条件を選択の上、証明書類のコピーを添付してください。</t>
    <rPh sb="0" eb="2">
      <t>フヨウ</t>
    </rPh>
    <rPh sb="6" eb="7">
      <t>カタ</t>
    </rPh>
    <rPh sb="8" eb="10">
      <t>シメイ</t>
    </rPh>
    <rPh sb="11" eb="13">
      <t>セイネン</t>
    </rPh>
    <rPh sb="13" eb="15">
      <t>ガッピ</t>
    </rPh>
    <rPh sb="16" eb="18">
      <t>ニュウリョク</t>
    </rPh>
    <rPh sb="78" eb="80">
      <t>イガイ</t>
    </rPh>
    <rPh sb="81" eb="83">
      <t>ドウキョ</t>
    </rPh>
    <rPh sb="87" eb="89">
      <t>バアイ</t>
    </rPh>
    <rPh sb="91" eb="93">
      <t>ドウキョ</t>
    </rPh>
    <rPh sb="95" eb="97">
      <t>センタク</t>
    </rPh>
    <rPh sb="120" eb="122">
      <t>フヨウ</t>
    </rPh>
    <rPh sb="126" eb="127">
      <t>カタ</t>
    </rPh>
    <rPh sb="142" eb="144">
      <t>センタク</t>
    </rPh>
    <rPh sb="148" eb="149">
      <t>カタ</t>
    </rPh>
    <rPh sb="150" eb="152">
      <t>ジュウショ</t>
    </rPh>
    <rPh sb="153" eb="155">
      <t>ニュウリョク</t>
    </rPh>
    <phoneticPr fontId="37"/>
  </si>
  <si>
    <t xml:space="preserve">令和５年１２月３１日現在、あなたと生計を一にする合計所得金額48万円以下の配偶者で、他の人の扶養親族や専従者となっていない人について配偶者控除を適用できます。また、配偶者の合計所得金額が48万円超から133万円以下のとき、配偶者特別控除を適用できます。
対象となる配偶者の方が国外に居住している場合、扶養の条件に該当しなければ控除を適応できません。該当する条件を選択の上、証明書類のコピーを添付してください。
</t>
    <rPh sb="0" eb="2">
      <t>レイワ</t>
    </rPh>
    <rPh sb="3" eb="4">
      <t>ネン</t>
    </rPh>
    <rPh sb="6" eb="7">
      <t>ガツ</t>
    </rPh>
    <rPh sb="9" eb="10">
      <t>ニチ</t>
    </rPh>
    <rPh sb="10" eb="12">
      <t>ゲンザイ</t>
    </rPh>
    <rPh sb="17" eb="19">
      <t>セイケイ</t>
    </rPh>
    <rPh sb="20" eb="21">
      <t>イツ</t>
    </rPh>
    <rPh sb="34" eb="36">
      <t>イカ</t>
    </rPh>
    <rPh sb="37" eb="40">
      <t>ハイグウシャ</t>
    </rPh>
    <rPh sb="42" eb="43">
      <t>ホカ</t>
    </rPh>
    <rPh sb="44" eb="45">
      <t>ヒト</t>
    </rPh>
    <rPh sb="46" eb="48">
      <t>フヨウ</t>
    </rPh>
    <rPh sb="48" eb="50">
      <t>シンゾク</t>
    </rPh>
    <rPh sb="51" eb="54">
      <t>センジュウシャ</t>
    </rPh>
    <rPh sb="61" eb="62">
      <t>ヒト</t>
    </rPh>
    <rPh sb="66" eb="69">
      <t>ハイグウシャ</t>
    </rPh>
    <rPh sb="69" eb="71">
      <t>コウジョ</t>
    </rPh>
    <rPh sb="72" eb="74">
      <t>テキヨウ</t>
    </rPh>
    <rPh sb="82" eb="85">
      <t>ハイグウシャ</t>
    </rPh>
    <rPh sb="86" eb="88">
      <t>ゴウケイ</t>
    </rPh>
    <rPh sb="88" eb="90">
      <t>ショトク</t>
    </rPh>
    <rPh sb="90" eb="92">
      <t>キンガク</t>
    </rPh>
    <rPh sb="95" eb="98">
      <t>マンエンチョウ</t>
    </rPh>
    <rPh sb="103" eb="105">
      <t>マンエン</t>
    </rPh>
    <rPh sb="105" eb="107">
      <t>イカ</t>
    </rPh>
    <rPh sb="111" eb="114">
      <t>ハイグウシャ</t>
    </rPh>
    <rPh sb="114" eb="116">
      <t>トクベツ</t>
    </rPh>
    <rPh sb="116" eb="118">
      <t>コウジョ</t>
    </rPh>
    <rPh sb="119" eb="121">
      <t>テキヨウ</t>
    </rPh>
    <rPh sb="127" eb="129">
      <t>タイショウ</t>
    </rPh>
    <rPh sb="132" eb="135">
      <t>ハイグウシャ</t>
    </rPh>
    <rPh sb="136" eb="137">
      <t>カタ</t>
    </rPh>
    <rPh sb="147" eb="149">
      <t>バアイ</t>
    </rPh>
    <rPh sb="150" eb="152">
      <t>フヨウ</t>
    </rPh>
    <rPh sb="153" eb="155">
      <t>ジョウケン</t>
    </rPh>
    <rPh sb="156" eb="158">
      <t>ガイトウ</t>
    </rPh>
    <rPh sb="163" eb="165">
      <t>コウジョ</t>
    </rPh>
    <rPh sb="166" eb="168">
      <t>テキオウ</t>
    </rPh>
    <rPh sb="174" eb="176">
      <t>ガイトウ</t>
    </rPh>
    <rPh sb="178" eb="180">
      <t>ジョウケン</t>
    </rPh>
    <rPh sb="181" eb="183">
      <t>センタク</t>
    </rPh>
    <rPh sb="184" eb="185">
      <t>ウエ</t>
    </rPh>
    <rPh sb="186" eb="188">
      <t>ショウメイ</t>
    </rPh>
    <rPh sb="188" eb="190">
      <t>ショルイ</t>
    </rPh>
    <rPh sb="195" eb="197">
      <t>テンプ</t>
    </rPh>
    <phoneticPr fontId="37"/>
  </si>
  <si>
    <t>〃</t>
    <phoneticPr fontId="37"/>
  </si>
  <si>
    <t>　30歳未満もしくは70歳以上である</t>
  </si>
  <si>
    <t>　選択してください</t>
  </si>
  <si>
    <t>　配偶者である</t>
  </si>
  <si>
    <t>ver.4.0</t>
    <phoneticPr fontId="37"/>
  </si>
  <si>
    <r>
      <t xml:space="preserve">１５ </t>
    </r>
    <r>
      <rPr>
        <sz val="7"/>
        <rFont val="ＭＳ ゴシック"/>
        <family val="3"/>
        <charset val="128"/>
      </rPr>
      <t>給与・公的年金等に係る所得以外(令和5年4月1日において65歳未満の方は給与所得以外)の市民税・県民税の納税方法</t>
    </r>
    <phoneticPr fontId="2" type="noConversion"/>
  </si>
  <si>
    <t>また、上場株式等の配当等所得について、総合課税を選択して申告する場合のみ入力してください。</t>
    <rPh sb="3" eb="5">
      <t>ジョウジョウ</t>
    </rPh>
    <rPh sb="5" eb="7">
      <t>カブシキ</t>
    </rPh>
    <rPh sb="7" eb="8">
      <t>トウ</t>
    </rPh>
    <rPh sb="9" eb="11">
      <t>ハイトウ</t>
    </rPh>
    <rPh sb="11" eb="12">
      <t>トウ</t>
    </rPh>
    <rPh sb="12" eb="14">
      <t>ショトク</t>
    </rPh>
    <rPh sb="19" eb="21">
      <t>ソウゴウ</t>
    </rPh>
    <rPh sb="21" eb="23">
      <t>カゼイ</t>
    </rPh>
    <rPh sb="24" eb="26">
      <t>センタク</t>
    </rPh>
    <rPh sb="28" eb="30">
      <t>シンコク</t>
    </rPh>
    <rPh sb="32" eb="34">
      <t>バアイ</t>
    </rPh>
    <rPh sb="36" eb="38">
      <t>ニュウリョク</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</si>
</sst>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
    <numFmt numFmtId="179" formatCode="0_);[Red]\(0\)"/>
    <numFmt numFmtId="180" formatCode="#"/>
    <numFmt numFmtId="181" formatCode="0#"/>
    <numFmt numFmtId="182" formatCode="####&quot; &quot;####&quot; &quot;####"/>
    <numFmt numFmtId="183" formatCode="###,###,###"/>
    <numFmt numFmtId="184" formatCode="###,###"/>
    <numFmt numFmtId="185" formatCode="0000&quot; &quot;0000&quot; &quot;0000"/>
    <numFmt numFmtId="186" formatCode="###,###,##0"/>
    <numFmt numFmtId="187" formatCode="[$-411]ggge&quot;年&quot;m&quot;月&quot;d&quot;日&quot;;@"/>
    <numFmt numFmtId="188" formatCode="#,##0.00_);[Red]\(#,##0.00\)"/>
    <numFmt numFmtId="189" formatCode="#,##0.00_ "/>
    <numFmt numFmtId="190" formatCode="0.000_);[Red]\(0.000\)"/>
    <numFmt numFmtId="191" formatCode="0.00000_ "/>
    <numFmt numFmtId="192" formatCode="yyyy/m/d;@"/>
  </numFmts>
  <fonts count="91">
    <font>
      <sz val="11"/>
      <name val="ＭＳ Ｐゴシック"/>
      <charset val="128"/>
    </font>
    <font>
      <sz val="11"/>
      <color theme="1"/>
      <name val="MS Pゴシック"/>
      <family val="2"/>
      <charset val="128"/>
    </font>
    <font>
      <sz val="11"/>
      <name val="ＭＳ Ｐゴシック"/>
      <family val="3"/>
      <charset val="128"/>
    </font>
    <font>
      <sz val="8"/>
      <name val="ＭＳ 明朝"/>
      <family val="1"/>
      <charset val="128"/>
    </font>
    <font>
      <sz val="7"/>
      <name val="ＭＳ 明朝"/>
      <family val="1"/>
      <charset val="128"/>
    </font>
    <font>
      <sz val="10"/>
      <name val="ＭＳ ゴシック"/>
      <family val="3"/>
      <charset val="128"/>
    </font>
    <font>
      <sz val="6"/>
      <name val="ＭＳ 明朝"/>
      <family val="1"/>
      <charset val="128"/>
    </font>
    <font>
      <sz val="5"/>
      <name val="ＭＳ 明朝"/>
      <family val="1"/>
      <charset val="128"/>
    </font>
    <font>
      <sz val="8"/>
      <name val="ＭＳ ゴシック"/>
      <family val="3"/>
      <charset val="128"/>
    </font>
    <font>
      <sz val="7"/>
      <name val="ＭＳ 明朝"/>
      <family val="1"/>
      <charset val="128"/>
    </font>
    <font>
      <sz val="7"/>
      <name val="ＭＳ 明朝"/>
      <family val="1"/>
      <charset val="128"/>
    </font>
    <font>
      <sz val="7"/>
      <name val="ＭＳ 明朝"/>
      <family val="1"/>
      <charset val="128"/>
    </font>
    <font>
      <sz val="9"/>
      <name val="ＭＳ 明朝"/>
      <family val="1"/>
      <charset val="128"/>
    </font>
    <font>
      <sz val="10"/>
      <name val="ＭＳ 明朝"/>
      <family val="1"/>
      <charset val="128"/>
    </font>
    <font>
      <sz val="12"/>
      <name val="ＭＳ 明朝"/>
      <family val="1"/>
      <charset val="128"/>
    </font>
    <font>
      <sz val="7"/>
      <name val="ＭＳ 明朝"/>
      <family val="1"/>
      <charset val="128"/>
    </font>
    <font>
      <sz val="8"/>
      <name val="ＭＳ 明朝"/>
      <family val="1"/>
      <charset val="128"/>
    </font>
    <font>
      <sz val="7"/>
      <name val="ＭＳ 明朝"/>
      <family val="1"/>
      <charset val="128"/>
    </font>
    <font>
      <sz val="10"/>
      <name val="ＭＳ 明朝"/>
      <family val="1"/>
      <charset val="128"/>
    </font>
    <font>
      <sz val="8"/>
      <name val="ＭＳ ゴシック"/>
      <family val="3"/>
      <charset val="128"/>
    </font>
    <font>
      <sz val="14"/>
      <name val="ＭＳ 明朝"/>
      <family val="1"/>
      <charset val="128"/>
    </font>
    <font>
      <sz val="6"/>
      <name val="ＭＳ 明朝"/>
      <family val="1"/>
      <charset val="128"/>
    </font>
    <font>
      <sz val="8"/>
      <name val="ＭＳ 明朝"/>
      <family val="1"/>
      <charset val="128"/>
    </font>
    <font>
      <sz val="10"/>
      <name val="ＭＳ 明朝"/>
      <family val="1"/>
      <charset val="128"/>
    </font>
    <font>
      <sz val="9"/>
      <name val="ＭＳ 明朝"/>
      <family val="1"/>
      <charset val="128"/>
    </font>
    <font>
      <sz val="7"/>
      <name val="ＭＳ 明朝"/>
      <family val="1"/>
      <charset val="128"/>
    </font>
    <font>
      <sz val="6"/>
      <name val="ＭＳ 明朝"/>
      <family val="1"/>
      <charset val="128"/>
    </font>
    <font>
      <sz val="8"/>
      <name val="ＭＳ 明朝"/>
      <family val="1"/>
      <charset val="128"/>
    </font>
    <font>
      <sz val="6"/>
      <name val="ＭＳ ゴシック"/>
      <family val="3"/>
      <charset val="128"/>
    </font>
    <font>
      <sz val="10"/>
      <name val="ＭＳ 明朝"/>
      <family val="1"/>
      <charset val="128"/>
    </font>
    <font>
      <sz val="7"/>
      <name val="ＭＳ 明朝"/>
      <family val="1"/>
      <charset val="128"/>
    </font>
    <font>
      <sz val="6"/>
      <name val="ＭＳ 明朝"/>
      <family val="1"/>
      <charset val="128"/>
    </font>
    <font>
      <sz val="8"/>
      <name val="ＭＳ ゴシック"/>
      <family val="3"/>
      <charset val="128"/>
    </font>
    <font>
      <sz val="9"/>
      <name val="ＭＳ 明朝"/>
      <family val="1"/>
      <charset val="128"/>
    </font>
    <font>
      <sz val="11"/>
      <name val="ＭＳ 明朝"/>
      <family val="1"/>
      <charset val="128"/>
    </font>
    <font>
      <sz val="5"/>
      <name val="ＭＳ 明朝"/>
      <family val="1"/>
      <charset val="128"/>
    </font>
    <font>
      <sz val="7"/>
      <name val="ＭＳ 明朝"/>
      <family val="1"/>
      <charset val="128"/>
    </font>
    <font>
      <sz val="6"/>
      <name val="ＭＳ Ｐゴシック"/>
      <family val="3"/>
      <charset val="128"/>
    </font>
    <font>
      <sz val="7"/>
      <color rgb="FFFFFF00"/>
      <name val="ＭＳ 明朝"/>
      <family val="1"/>
      <charset val="128"/>
    </font>
    <font>
      <sz val="9"/>
      <color theme="0" tint="-0.14999847407452621"/>
      <name val="ＭＳ 明朝"/>
      <family val="1"/>
      <charset val="128"/>
    </font>
    <font>
      <sz val="8"/>
      <name val="ＭＳ Ｐゴシック"/>
      <family val="3"/>
      <charset val="128"/>
    </font>
    <font>
      <sz val="6"/>
      <name val="Meiryo UI"/>
      <family val="3"/>
      <charset val="128"/>
    </font>
    <font>
      <sz val="4"/>
      <name val="ＭＳ 明朝"/>
      <family val="1"/>
      <charset val="128"/>
    </font>
    <font>
      <sz val="12"/>
      <name val="ＭＳ Ｐゴシック"/>
      <family val="3"/>
      <charset val="128"/>
    </font>
    <font>
      <u/>
      <sz val="11"/>
      <color theme="10"/>
      <name val="ＭＳ Ｐゴシック"/>
      <family val="3"/>
      <charset val="128"/>
    </font>
    <font>
      <sz val="14"/>
      <name val="ＭＳ Ｐゴシック"/>
      <family val="3"/>
      <charset val="128"/>
    </font>
    <font>
      <u/>
      <sz val="12"/>
      <color theme="10"/>
      <name val="ＭＳ Ｐゴシック"/>
      <family val="3"/>
      <charset val="128"/>
    </font>
    <font>
      <sz val="10"/>
      <name val="Meiryo UI"/>
      <family val="3"/>
      <charset val="128"/>
    </font>
    <font>
      <sz val="10"/>
      <color theme="1"/>
      <name val="Meiryo UI"/>
      <family val="3"/>
      <charset val="128"/>
    </font>
    <font>
      <sz val="12"/>
      <name val="Meiryo UI"/>
      <family val="3"/>
      <charset val="128"/>
    </font>
    <font>
      <sz val="14"/>
      <name val="Meiryo UI"/>
      <family val="3"/>
      <charset val="128"/>
    </font>
    <font>
      <sz val="11"/>
      <name val="Meiryo UI"/>
      <family val="3"/>
      <charset val="128"/>
    </font>
    <font>
      <sz val="11"/>
      <name val="ＭＳ ゴシック"/>
      <family val="3"/>
      <charset val="128"/>
    </font>
    <font>
      <b/>
      <sz val="8"/>
      <name val="ＭＳ 明朝"/>
      <family val="1"/>
      <charset val="128"/>
    </font>
    <font>
      <b/>
      <sz val="11"/>
      <color rgb="FFFF0000"/>
      <name val="Meiryo UI"/>
      <family val="3"/>
      <charset val="128"/>
    </font>
    <font>
      <u/>
      <sz val="12"/>
      <color theme="10"/>
      <name val="Meiryo UI"/>
      <family val="3"/>
      <charset val="128"/>
    </font>
    <font>
      <u/>
      <sz val="11"/>
      <color theme="10"/>
      <name val="Meiryo UI"/>
      <family val="3"/>
      <charset val="128"/>
    </font>
    <font>
      <b/>
      <sz val="12"/>
      <color rgb="FFFF0000"/>
      <name val="Meiryo UI"/>
      <family val="3"/>
      <charset val="128"/>
    </font>
    <font>
      <b/>
      <sz val="11"/>
      <name val="Meiryo UI"/>
      <family val="3"/>
      <charset val="128"/>
    </font>
    <font>
      <b/>
      <sz val="12"/>
      <name val="Meiryo UI"/>
      <family val="3"/>
      <charset val="128"/>
    </font>
    <font>
      <sz val="11"/>
      <color rgb="FFFF0000"/>
      <name val="Meiryo UI"/>
      <family val="3"/>
      <charset val="128"/>
    </font>
    <font>
      <sz val="10.5"/>
      <name val="Meiryo UI"/>
      <family val="3"/>
      <charset val="128"/>
    </font>
    <font>
      <b/>
      <sz val="14"/>
      <name val="Meiryo UI"/>
      <family val="3"/>
      <charset val="128"/>
    </font>
    <font>
      <sz val="16"/>
      <name val="Meiryo UI"/>
      <family val="3"/>
      <charset val="128"/>
    </font>
    <font>
      <b/>
      <sz val="11"/>
      <color theme="1"/>
      <name val="Meiryo UI"/>
      <family val="3"/>
      <charset val="128"/>
    </font>
    <font>
      <b/>
      <u/>
      <sz val="11"/>
      <color theme="10"/>
      <name val="Meiryo UI"/>
      <family val="3"/>
      <charset val="128"/>
    </font>
    <font>
      <b/>
      <sz val="11"/>
      <name val="ＭＳ Ｐゴシック"/>
      <family val="3"/>
      <charset val="128"/>
    </font>
    <font>
      <b/>
      <sz val="6"/>
      <name val="Meiryo UI"/>
      <family val="3"/>
      <charset val="128"/>
    </font>
    <font>
      <b/>
      <sz val="10"/>
      <color rgb="FFFF0000"/>
      <name val="Meiryo UI"/>
      <family val="3"/>
      <charset val="128"/>
    </font>
    <font>
      <sz val="11"/>
      <color theme="1"/>
      <name val="Meiryo UI"/>
      <family val="3"/>
      <charset val="128"/>
    </font>
    <font>
      <sz val="12"/>
      <color theme="1"/>
      <name val="Meiryo UI"/>
      <family val="3"/>
      <charset val="128"/>
    </font>
    <font>
      <sz val="11"/>
      <color theme="0"/>
      <name val="Meiryo UI"/>
      <family val="3"/>
      <charset val="128"/>
    </font>
    <font>
      <sz val="18"/>
      <name val="Meiryo UI"/>
      <family val="3"/>
      <charset val="128"/>
    </font>
    <font>
      <sz val="9"/>
      <color theme="1"/>
      <name val="ＭＳ 明朝"/>
      <family val="1"/>
      <charset val="128"/>
    </font>
    <font>
      <sz val="12"/>
      <color theme="0"/>
      <name val="ＭＳ Ｐゴシック"/>
      <family val="3"/>
      <charset val="128"/>
    </font>
    <font>
      <sz val="7"/>
      <name val="ＭＳ ゴシック"/>
      <family val="3"/>
      <charset val="128"/>
    </font>
    <font>
      <sz val="10"/>
      <color theme="0" tint="-0.34998626667073579"/>
      <name val="Meiryo UI"/>
      <family val="3"/>
      <charset val="128"/>
    </font>
    <font>
      <u/>
      <sz val="10"/>
      <color theme="10"/>
      <name val="Meiryo UI"/>
      <family val="3"/>
      <charset val="128"/>
    </font>
    <font>
      <sz val="10"/>
      <name val="ＭＳ Ｐゴシック"/>
      <family val="3"/>
      <charset val="128"/>
    </font>
    <font>
      <sz val="12"/>
      <color rgb="FFFF0000"/>
      <name val="Meiryo UI"/>
      <family val="3"/>
      <charset val="128"/>
    </font>
    <font>
      <b/>
      <sz val="10"/>
      <color theme="1"/>
      <name val="Meiryo UI"/>
      <family val="3"/>
      <charset val="128"/>
    </font>
    <font>
      <b/>
      <sz val="12"/>
      <color theme="1"/>
      <name val="Meiryo UI"/>
      <family val="3"/>
      <charset val="128"/>
    </font>
    <font>
      <sz val="6"/>
      <name val="游ゴシック"/>
      <family val="2"/>
      <charset val="128"/>
      <scheme val="minor"/>
    </font>
    <font>
      <b/>
      <sz val="16"/>
      <name val="Meiryo UI"/>
      <family val="3"/>
      <charset val="128"/>
    </font>
    <font>
      <sz val="8"/>
      <name val="Meiryo UI"/>
      <family val="3"/>
      <charset val="128"/>
    </font>
    <font>
      <sz val="9"/>
      <name val="Meiryo UI"/>
      <family val="3"/>
      <charset val="128"/>
    </font>
    <font>
      <sz val="9"/>
      <color theme="1"/>
      <name val="Meiryo UI"/>
      <family val="3"/>
      <charset val="128"/>
    </font>
    <font>
      <sz val="10"/>
      <color rgb="FFFF0000"/>
      <name val="Meiryo UI"/>
      <family val="3"/>
      <charset val="128"/>
    </font>
    <font>
      <sz val="4.5"/>
      <name val="ＭＳ 明朝"/>
      <family val="1"/>
      <charset val="128"/>
    </font>
    <font>
      <sz val="5.5"/>
      <name val="ＭＳ 明朝"/>
      <family val="1"/>
      <charset val="128"/>
    </font>
    <font>
      <sz val="10.5"/>
      <color rgb="FFFF0000"/>
      <name val="Meiryo UI"/>
      <family val="3"/>
      <charset val="128"/>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0"/>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0"/>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theme="4" tint="-0.249977111117893"/>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0" fontId="44" fillId="0" borderId="0" applyNumberFormat="0" applyFill="0" applyBorder="0" applyAlignment="0" applyProtection="0"/>
    <xf numFmtId="0" fontId="2" fillId="0" borderId="0"/>
  </cellStyleXfs>
  <cellXfs count="1703">
    <xf numFmtId="0" fontId="0" fillId="0" borderId="0" xfId="0"/>
    <xf numFmtId="0" fontId="0" fillId="0" borderId="0" xfId="0" applyProtection="1"/>
    <xf numFmtId="0" fontId="17" fillId="0" borderId="0" xfId="0" applyFont="1" applyBorder="1" applyAlignment="1" applyProtection="1">
      <alignment vertical="top" wrapText="1"/>
    </xf>
    <xf numFmtId="0" fontId="27" fillId="0" borderId="0" xfId="0" applyFont="1" applyBorder="1" applyAlignment="1" applyProtection="1">
      <alignment vertical="top" wrapText="1"/>
    </xf>
    <xf numFmtId="0" fontId="26" fillId="0" borderId="0" xfId="0" applyFont="1" applyBorder="1" applyAlignment="1" applyProtection="1">
      <alignment horizontal="left" vertical="top" wrapText="1"/>
    </xf>
    <xf numFmtId="0" fontId="41" fillId="0" borderId="0" xfId="0" applyFont="1" applyProtection="1"/>
    <xf numFmtId="0" fontId="41" fillId="0" borderId="0" xfId="0" applyFont="1" applyAlignment="1" applyProtection="1">
      <alignment horizontal="center" vertical="center"/>
    </xf>
    <xf numFmtId="177" fontId="41" fillId="0" borderId="0" xfId="0" applyNumberFormat="1" applyFont="1" applyBorder="1" applyAlignment="1" applyProtection="1">
      <alignment horizontal="center" vertical="center" shrinkToFit="1"/>
    </xf>
    <xf numFmtId="49" fontId="43" fillId="0" borderId="0" xfId="0" applyNumberFormat="1" applyFont="1"/>
    <xf numFmtId="0" fontId="43" fillId="0" borderId="0" xfId="0" applyFont="1"/>
    <xf numFmtId="0" fontId="43" fillId="0" borderId="0" xfId="0" applyFont="1" applyAlignment="1">
      <alignment vertical="center"/>
    </xf>
    <xf numFmtId="0" fontId="43" fillId="5" borderId="0" xfId="0" applyFont="1" applyFill="1"/>
    <xf numFmtId="0" fontId="43" fillId="5" borderId="0" xfId="0" applyFont="1" applyFill="1" applyAlignment="1">
      <alignment vertical="center"/>
    </xf>
    <xf numFmtId="0" fontId="26" fillId="0" borderId="0" xfId="0" applyFont="1" applyBorder="1" applyAlignment="1" applyProtection="1">
      <alignment horizontal="left" vertical="top" wrapText="1"/>
    </xf>
    <xf numFmtId="0" fontId="43" fillId="0" borderId="0" xfId="0" applyFont="1" applyFill="1" applyBorder="1" applyAlignment="1">
      <alignment vertical="top" wrapText="1"/>
    </xf>
    <xf numFmtId="0" fontId="43" fillId="0" borderId="0" xfId="0" applyFont="1" applyFill="1"/>
    <xf numFmtId="0" fontId="4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pplyProtection="1">
      <alignment vertical="center"/>
    </xf>
    <xf numFmtId="177" fontId="41" fillId="0" borderId="0" xfId="0" applyNumberFormat="1" applyFont="1" applyBorder="1" applyAlignment="1" applyProtection="1">
      <alignment vertical="center" shrinkToFit="1"/>
    </xf>
    <xf numFmtId="0" fontId="41" fillId="0" borderId="0" xfId="0" applyFont="1" applyAlignment="1" applyProtection="1">
      <alignment vertical="center"/>
    </xf>
    <xf numFmtId="0" fontId="5" fillId="0" borderId="0" xfId="0" applyFont="1" applyBorder="1" applyAlignment="1" applyProtection="1">
      <alignment wrapText="1"/>
    </xf>
    <xf numFmtId="0" fontId="32" fillId="0" borderId="0" xfId="0" applyFont="1" applyBorder="1" applyAlignment="1" applyProtection="1">
      <alignment wrapText="1"/>
    </xf>
    <xf numFmtId="0" fontId="3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43" fillId="0" borderId="0" xfId="0" applyFont="1" applyAlignment="1">
      <alignment horizontal="center" vertical="center"/>
    </xf>
    <xf numFmtId="0" fontId="0" fillId="0" borderId="0" xfId="0" applyAlignment="1">
      <alignment horizontal="center" vertical="center"/>
    </xf>
    <xf numFmtId="0" fontId="0" fillId="0" borderId="0" xfId="0" applyFill="1"/>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0" xfId="0" applyAlignment="1">
      <alignment horizontal="right" vertical="center"/>
    </xf>
    <xf numFmtId="178" fontId="0" fillId="0" borderId="0" xfId="0" applyNumberFormat="1" applyAlignment="1">
      <alignment vertical="center"/>
    </xf>
    <xf numFmtId="0" fontId="0" fillId="0" borderId="0" xfId="0" applyFill="1" applyAlignment="1">
      <alignment vertical="center"/>
    </xf>
    <xf numFmtId="49" fontId="0" fillId="0" borderId="0" xfId="0" applyNumberFormat="1" applyAlignment="1">
      <alignment horizontal="right" vertical="center"/>
    </xf>
    <xf numFmtId="178" fontId="0" fillId="0" borderId="0" xfId="0" applyNumberFormat="1" applyFill="1" applyAlignment="1">
      <alignment vertical="center"/>
    </xf>
    <xf numFmtId="0" fontId="34" fillId="0" borderId="0" xfId="0" applyFont="1" applyProtection="1"/>
    <xf numFmtId="0" fontId="47" fillId="0" borderId="0" xfId="0" applyFont="1" applyProtection="1"/>
    <xf numFmtId="0" fontId="47" fillId="0" borderId="0" xfId="0" applyNumberFormat="1" applyFont="1" applyProtection="1"/>
    <xf numFmtId="179" fontId="47" fillId="0" borderId="0" xfId="0" applyNumberFormat="1" applyFont="1" applyProtection="1"/>
    <xf numFmtId="0" fontId="47" fillId="0" borderId="0" xfId="0" applyFont="1" applyAlignment="1" applyProtection="1">
      <alignment horizontal="center" vertical="center"/>
    </xf>
    <xf numFmtId="0" fontId="47" fillId="0" borderId="0" xfId="0" applyNumberFormat="1" applyFont="1" applyAlignment="1" applyProtection="1">
      <alignment horizontal="center" vertical="center"/>
    </xf>
    <xf numFmtId="0" fontId="47" fillId="0" borderId="0" xfId="0" applyNumberFormat="1" applyFont="1" applyBorder="1" applyAlignment="1" applyProtection="1">
      <alignment horizontal="center" vertical="center" shrinkToFit="1"/>
    </xf>
    <xf numFmtId="0" fontId="47" fillId="0" borderId="0" xfId="0" applyFont="1"/>
    <xf numFmtId="0" fontId="47" fillId="0" borderId="0" xfId="0" applyFont="1" applyFill="1"/>
    <xf numFmtId="0" fontId="47" fillId="0" borderId="0" xfId="0" applyFont="1" applyFill="1" applyAlignment="1">
      <alignment horizontal="left" vertical="top" wrapText="1"/>
    </xf>
    <xf numFmtId="0" fontId="47" fillId="8" borderId="1" xfId="0" applyFont="1" applyFill="1" applyBorder="1" applyAlignment="1" applyProtection="1">
      <alignment horizontal="center" vertical="center"/>
    </xf>
    <xf numFmtId="0" fontId="47" fillId="8" borderId="1" xfId="0" applyNumberFormat="1" applyFont="1" applyFill="1" applyBorder="1" applyAlignment="1" applyProtection="1">
      <alignment horizontal="center" vertical="center"/>
    </xf>
    <xf numFmtId="179" fontId="47" fillId="8" borderId="1" xfId="0" applyNumberFormat="1" applyFont="1" applyFill="1" applyBorder="1" applyAlignment="1" applyProtection="1">
      <alignment horizontal="center" vertical="center"/>
    </xf>
    <xf numFmtId="177" fontId="47" fillId="8" borderId="1" xfId="0" applyNumberFormat="1" applyFont="1" applyFill="1" applyBorder="1" applyAlignment="1" applyProtection="1">
      <alignment horizontal="center" vertical="center" shrinkToFit="1"/>
    </xf>
    <xf numFmtId="0" fontId="47" fillId="8" borderId="1" xfId="0" applyNumberFormat="1" applyFont="1" applyFill="1" applyBorder="1" applyAlignment="1" applyProtection="1">
      <alignment horizontal="center" vertical="center" shrinkToFit="1"/>
    </xf>
    <xf numFmtId="0" fontId="47" fillId="8" borderId="1" xfId="0" applyNumberFormat="1" applyFont="1" applyFill="1" applyBorder="1" applyAlignment="1" applyProtection="1">
      <alignment horizontal="center"/>
    </xf>
    <xf numFmtId="0" fontId="47" fillId="8" borderId="1" xfId="0" applyFont="1" applyFill="1" applyBorder="1" applyAlignment="1" applyProtection="1">
      <alignment horizontal="center" vertical="center" wrapText="1"/>
    </xf>
    <xf numFmtId="0" fontId="47" fillId="8" borderId="1" xfId="0" applyFont="1" applyFill="1" applyBorder="1" applyAlignment="1">
      <alignment horizontal="center" vertical="center"/>
    </xf>
    <xf numFmtId="0" fontId="47" fillId="8" borderId="1" xfId="0" applyFont="1" applyFill="1" applyBorder="1"/>
    <xf numFmtId="177" fontId="48" fillId="8" borderId="1" xfId="0" applyNumberFormat="1" applyFont="1" applyFill="1" applyBorder="1" applyAlignment="1">
      <alignment vertical="center"/>
    </xf>
    <xf numFmtId="0" fontId="47" fillId="8" borderId="1" xfId="0" applyNumberFormat="1" applyFont="1" applyFill="1" applyBorder="1" applyProtection="1"/>
    <xf numFmtId="0" fontId="47" fillId="8" borderId="1" xfId="0" applyFont="1" applyFill="1" applyBorder="1" applyAlignment="1">
      <alignment horizontal="center"/>
    </xf>
    <xf numFmtId="179" fontId="47" fillId="8" borderId="1" xfId="0" applyNumberFormat="1" applyFont="1" applyFill="1" applyBorder="1" applyProtection="1"/>
    <xf numFmtId="177" fontId="47" fillId="8" borderId="1" xfId="0" applyNumberFormat="1" applyFont="1" applyFill="1" applyBorder="1" applyProtection="1"/>
    <xf numFmtId="177" fontId="47" fillId="8" borderId="10" xfId="0" applyNumberFormat="1" applyFont="1" applyFill="1" applyBorder="1" applyProtection="1"/>
    <xf numFmtId="0" fontId="47" fillId="8" borderId="1" xfId="0" applyFont="1" applyFill="1" applyBorder="1" applyProtection="1"/>
    <xf numFmtId="0" fontId="47" fillId="0" borderId="0" xfId="0" applyFont="1" applyFill="1" applyBorder="1"/>
    <xf numFmtId="178" fontId="48" fillId="8" borderId="1" xfId="0" applyNumberFormat="1" applyFont="1" applyFill="1" applyBorder="1" applyAlignment="1">
      <alignment horizontal="right" vertical="center"/>
    </xf>
    <xf numFmtId="180" fontId="47" fillId="8" borderId="1" xfId="0" applyNumberFormat="1" applyFont="1" applyFill="1" applyBorder="1"/>
    <xf numFmtId="0" fontId="47" fillId="0" borderId="0" xfId="0" applyFont="1" applyFill="1" applyBorder="1" applyAlignment="1" applyProtection="1">
      <alignment horizontal="center" vertical="center"/>
    </xf>
    <xf numFmtId="0" fontId="47" fillId="0" borderId="0" xfId="0" applyFont="1" applyFill="1" applyBorder="1" applyAlignment="1">
      <alignment horizontal="left" vertical="center"/>
    </xf>
    <xf numFmtId="178" fontId="47" fillId="8" borderId="1" xfId="0" applyNumberFormat="1" applyFont="1" applyFill="1" applyBorder="1"/>
    <xf numFmtId="177" fontId="47" fillId="8" borderId="1" xfId="0" applyNumberFormat="1" applyFont="1" applyFill="1" applyBorder="1" applyAlignment="1" applyProtection="1">
      <alignment horizontal="right" vertical="center"/>
    </xf>
    <xf numFmtId="0" fontId="49" fillId="0" borderId="0" xfId="0" applyFont="1" applyProtection="1"/>
    <xf numFmtId="0" fontId="50" fillId="0" borderId="0" xfId="0" applyFont="1" applyProtection="1"/>
    <xf numFmtId="0" fontId="47" fillId="8" borderId="1" xfId="0" applyFont="1" applyFill="1" applyBorder="1" applyAlignment="1">
      <alignment horizontal="right" vertical="center"/>
    </xf>
    <xf numFmtId="0" fontId="47" fillId="8" borderId="1" xfId="0" applyFont="1" applyFill="1" applyBorder="1" applyAlignment="1">
      <alignment horizontal="center" vertical="center" wrapText="1"/>
    </xf>
    <xf numFmtId="0" fontId="43" fillId="9" borderId="0" xfId="0" applyFont="1" applyFill="1"/>
    <xf numFmtId="0" fontId="43" fillId="9" borderId="0" xfId="0" applyFont="1" applyFill="1" applyAlignment="1">
      <alignment vertical="center"/>
    </xf>
    <xf numFmtId="0" fontId="0" fillId="9" borderId="0" xfId="0" applyFill="1"/>
    <xf numFmtId="0" fontId="47" fillId="8" borderId="1" xfId="0" applyFont="1" applyFill="1" applyBorder="1" applyAlignment="1">
      <alignment horizontal="center" vertical="center"/>
    </xf>
    <xf numFmtId="0" fontId="12" fillId="0" borderId="0" xfId="0" applyFont="1" applyBorder="1" applyAlignment="1" applyProtection="1">
      <alignment vertical="center" wrapText="1"/>
    </xf>
    <xf numFmtId="0" fontId="47" fillId="8" borderId="1" xfId="0" applyFont="1" applyFill="1" applyBorder="1" applyAlignment="1">
      <alignment horizontal="center" vertical="center"/>
    </xf>
    <xf numFmtId="0" fontId="0" fillId="0" borderId="0" xfId="0" applyFill="1" applyProtection="1"/>
    <xf numFmtId="177" fontId="8" fillId="0" borderId="0" xfId="0" applyNumberFormat="1" applyFont="1" applyFill="1" applyBorder="1" applyAlignment="1" applyProtection="1">
      <alignment horizontal="center" vertical="center" shrinkToFit="1"/>
    </xf>
    <xf numFmtId="177" fontId="5" fillId="0" borderId="0" xfId="0" applyNumberFormat="1" applyFont="1" applyFill="1" applyBorder="1" applyAlignment="1" applyProtection="1">
      <alignment vertical="center" shrinkToFit="1"/>
    </xf>
    <xf numFmtId="0" fontId="26"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77" fontId="47" fillId="8" borderId="1" xfId="0" applyNumberFormat="1" applyFont="1" applyFill="1" applyBorder="1" applyAlignment="1" applyProtection="1">
      <alignment horizontal="center" vertical="center"/>
    </xf>
    <xf numFmtId="178" fontId="47" fillId="8" borderId="1" xfId="0" applyNumberFormat="1" applyFont="1" applyFill="1" applyBorder="1" applyAlignment="1">
      <alignment horizontal="center" vertical="center"/>
    </xf>
    <xf numFmtId="0" fontId="47" fillId="8" borderId="11" xfId="0" applyFont="1" applyFill="1" applyBorder="1" applyAlignment="1">
      <alignment horizontal="center" vertical="center"/>
    </xf>
    <xf numFmtId="0" fontId="12" fillId="0" borderId="0" xfId="0" applyFont="1" applyBorder="1" applyAlignment="1" applyProtection="1">
      <alignment horizontal="center" vertical="center" wrapText="1"/>
    </xf>
    <xf numFmtId="178" fontId="12" fillId="0" borderId="0" xfId="0" applyNumberFormat="1" applyFont="1" applyBorder="1" applyAlignment="1" applyProtection="1">
      <alignment horizontal="right" vertical="center" wrapText="1"/>
    </xf>
    <xf numFmtId="0" fontId="12"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78" fontId="13" fillId="0" borderId="0" xfId="0" applyNumberFormat="1"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47" fillId="10" borderId="0" xfId="0" applyFont="1" applyFill="1" applyProtection="1"/>
    <xf numFmtId="181" fontId="47" fillId="8" borderId="1" xfId="0" applyNumberFormat="1" applyFont="1" applyFill="1" applyBorder="1" applyAlignment="1" applyProtection="1">
      <alignment horizontal="center" vertical="center" shrinkToFit="1"/>
    </xf>
    <xf numFmtId="0" fontId="47" fillId="10" borderId="0" xfId="0" applyNumberFormat="1" applyFont="1" applyFill="1" applyProtection="1"/>
    <xf numFmtId="179" fontId="47" fillId="10" borderId="0" xfId="0" applyNumberFormat="1" applyFont="1" applyFill="1" applyProtection="1"/>
    <xf numFmtId="0" fontId="47" fillId="10" borderId="0" xfId="0" applyFont="1" applyFill="1"/>
    <xf numFmtId="0" fontId="47" fillId="10" borderId="0" xfId="0" applyFont="1" applyFill="1" applyAlignment="1">
      <alignment horizontal="center" vertical="center"/>
    </xf>
    <xf numFmtId="0" fontId="47" fillId="10" borderId="0" xfId="0" applyFont="1" applyFill="1" applyAlignment="1" applyProtection="1">
      <alignment horizontal="center" vertical="center"/>
    </xf>
    <xf numFmtId="0" fontId="51" fillId="0" borderId="0" xfId="0" applyFont="1" applyFill="1"/>
    <xf numFmtId="0" fontId="51" fillId="0" borderId="0" xfId="0" applyFont="1" applyFill="1" applyProtection="1"/>
    <xf numFmtId="0" fontId="52" fillId="0" borderId="0" xfId="0" applyFont="1" applyProtection="1"/>
    <xf numFmtId="0" fontId="47" fillId="8" borderId="0" xfId="0" applyFont="1" applyFill="1" applyProtection="1"/>
    <xf numFmtId="0" fontId="47" fillId="8" borderId="15" xfId="0" applyNumberFormat="1" applyFont="1" applyFill="1" applyBorder="1" applyProtection="1"/>
    <xf numFmtId="0" fontId="0" fillId="0" borderId="0" xfId="0"/>
    <xf numFmtId="178" fontId="12" fillId="0" borderId="0" xfId="0" applyNumberFormat="1" applyFont="1" applyBorder="1" applyAlignment="1" applyProtection="1">
      <alignment vertical="center" wrapText="1"/>
    </xf>
    <xf numFmtId="178" fontId="3" fillId="0" borderId="0" xfId="0" applyNumberFormat="1" applyFont="1" applyBorder="1" applyAlignment="1" applyProtection="1">
      <alignment vertical="center" shrinkToFit="1"/>
    </xf>
    <xf numFmtId="0" fontId="12" fillId="0" borderId="0" xfId="0" applyFont="1" applyBorder="1" applyAlignment="1" applyProtection="1">
      <alignment vertical="center" shrinkToFit="1"/>
    </xf>
    <xf numFmtId="0" fontId="46" fillId="9" borderId="0" xfId="3" applyFont="1" applyFill="1" applyAlignment="1">
      <alignment horizontal="left" vertical="center"/>
    </xf>
    <xf numFmtId="0" fontId="8" fillId="0" borderId="0" xfId="0" applyFont="1" applyBorder="1" applyAlignment="1" applyProtection="1">
      <alignment wrapText="1"/>
    </xf>
    <xf numFmtId="0" fontId="33" fillId="0" borderId="0" xfId="0" applyFont="1" applyBorder="1" applyAlignment="1" applyProtection="1">
      <alignment vertical="center" wrapText="1"/>
    </xf>
    <xf numFmtId="0" fontId="3" fillId="0" borderId="0" xfId="0" applyNumberFormat="1" applyFont="1" applyBorder="1" applyAlignment="1" applyProtection="1">
      <alignment vertical="center" shrinkToFit="1"/>
    </xf>
    <xf numFmtId="0" fontId="3" fillId="0" borderId="0" xfId="0" applyFont="1" applyBorder="1" applyAlignment="1" applyProtection="1">
      <alignment vertical="center" shrinkToFi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6" fillId="0" borderId="0" xfId="0" applyFont="1" applyBorder="1" applyAlignment="1" applyProtection="1">
      <alignment vertical="center" wrapText="1"/>
    </xf>
    <xf numFmtId="0" fontId="34" fillId="0" borderId="0" xfId="0" applyFont="1" applyFill="1" applyProtection="1"/>
    <xf numFmtId="0" fontId="41" fillId="0" borderId="0" xfId="0" applyFont="1" applyFill="1" applyProtection="1"/>
    <xf numFmtId="0" fontId="3" fillId="0" borderId="0" xfId="0" applyFont="1" applyFill="1" applyBorder="1" applyAlignment="1" applyProtection="1">
      <alignment vertical="top" wrapText="1"/>
    </xf>
    <xf numFmtId="0" fontId="6" fillId="0" borderId="0" xfId="0" applyFont="1" applyFill="1" applyProtection="1"/>
    <xf numFmtId="0" fontId="6" fillId="0" borderId="0" xfId="0" applyFont="1" applyFill="1" applyBorder="1" applyAlignment="1" applyProtection="1">
      <alignment horizontal="center" wrapText="1"/>
    </xf>
    <xf numFmtId="17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vertical="center" wrapText="1"/>
    </xf>
    <xf numFmtId="0" fontId="47" fillId="8" borderId="1" xfId="0" applyFont="1" applyFill="1" applyBorder="1" applyAlignment="1" applyProtection="1">
      <alignment horizontal="center"/>
    </xf>
    <xf numFmtId="0" fontId="28" fillId="0" borderId="0" xfId="0" applyFont="1" applyProtection="1"/>
    <xf numFmtId="0" fontId="52" fillId="0" borderId="0" xfId="0" applyFont="1"/>
    <xf numFmtId="0" fontId="36" fillId="0" borderId="0" xfId="0" applyFont="1" applyBorder="1" applyAlignment="1" applyProtection="1">
      <alignment vertical="center" wrapText="1"/>
    </xf>
    <xf numFmtId="182" fontId="3" fillId="0" borderId="0" xfId="0" applyNumberFormat="1" applyFont="1" applyBorder="1" applyAlignment="1" applyProtection="1">
      <alignment horizontal="left" vertical="center" wrapText="1"/>
    </xf>
    <xf numFmtId="0" fontId="3" fillId="0" borderId="0" xfId="0" applyFont="1" applyFill="1" applyBorder="1" applyAlignment="1" applyProtection="1">
      <alignment vertical="center" wrapText="1"/>
    </xf>
    <xf numFmtId="0" fontId="21" fillId="0" borderId="0" xfId="0" applyFont="1" applyFill="1" applyBorder="1" applyAlignment="1" applyProtection="1">
      <alignment vertical="top" wrapText="1"/>
    </xf>
    <xf numFmtId="0" fontId="19" fillId="0" borderId="0" xfId="0" applyFont="1" applyFill="1" applyBorder="1" applyAlignment="1" applyProtection="1">
      <alignment vertical="center" wrapText="1"/>
    </xf>
    <xf numFmtId="0" fontId="4" fillId="0" borderId="0" xfId="0" applyFont="1" applyFill="1" applyBorder="1" applyAlignment="1" applyProtection="1">
      <alignment vertical="center" shrinkToFit="1"/>
    </xf>
    <xf numFmtId="0" fontId="6" fillId="0" borderId="0" xfId="0" applyFont="1" applyFill="1" applyBorder="1" applyAlignment="1" applyProtection="1">
      <alignment wrapText="1"/>
    </xf>
    <xf numFmtId="0" fontId="8" fillId="0" borderId="0" xfId="0" applyFont="1" applyFill="1" applyBorder="1" applyAlignment="1" applyProtection="1">
      <alignment wrapText="1" shrinkToFit="1"/>
    </xf>
    <xf numFmtId="0" fontId="0" fillId="0" borderId="0" xfId="0" applyBorder="1" applyAlignment="1" applyProtection="1"/>
    <xf numFmtId="0" fontId="13" fillId="0" borderId="0" xfId="0" applyFont="1" applyBorder="1" applyAlignment="1" applyProtection="1">
      <alignment vertical="center" wrapText="1"/>
    </xf>
    <xf numFmtId="0" fontId="0" fillId="0" borderId="0" xfId="0" applyBorder="1" applyProtection="1"/>
    <xf numFmtId="0" fontId="41" fillId="0" borderId="0" xfId="0" applyFont="1" applyBorder="1" applyProtection="1"/>
    <xf numFmtId="0" fontId="0" fillId="0" borderId="0" xfId="0" applyBorder="1"/>
    <xf numFmtId="0" fontId="17" fillId="0" borderId="0" xfId="0" applyFont="1" applyBorder="1" applyAlignment="1" applyProtection="1">
      <alignment wrapText="1"/>
    </xf>
    <xf numFmtId="0" fontId="6"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7" fillId="0" borderId="0" xfId="0" applyFont="1" applyFill="1" applyBorder="1" applyAlignment="1" applyProtection="1">
      <alignment vertical="center" wrapText="1"/>
    </xf>
    <xf numFmtId="0" fontId="5" fillId="0" borderId="0" xfId="0" applyFont="1" applyFill="1" applyBorder="1" applyAlignment="1" applyProtection="1">
      <alignment wrapText="1"/>
    </xf>
    <xf numFmtId="0" fontId="9" fillId="0" borderId="0" xfId="0"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0" fillId="0" borderId="0" xfId="0" applyAlignment="1" applyProtection="1"/>
    <xf numFmtId="0" fontId="0" fillId="0" borderId="0" xfId="0" applyBorder="1" applyAlignment="1">
      <alignment vertical="center" wrapText="1"/>
    </xf>
    <xf numFmtId="0" fontId="37" fillId="0" borderId="0" xfId="0" applyFont="1" applyBorder="1" applyAlignment="1">
      <alignment vertical="top" shrinkToFit="1"/>
    </xf>
    <xf numFmtId="0" fontId="41" fillId="0" borderId="0" xfId="0" applyFont="1" applyBorder="1" applyAlignment="1" applyProtection="1">
      <alignment horizontal="center" vertical="center"/>
    </xf>
    <xf numFmtId="178" fontId="3" fillId="0" borderId="0" xfId="0" applyNumberFormat="1" applyFont="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ill="1" applyBorder="1" applyAlignment="1">
      <alignment vertical="center" wrapText="1"/>
    </xf>
    <xf numFmtId="0" fontId="46" fillId="9" borderId="0" xfId="3" applyFont="1" applyFill="1" applyAlignment="1">
      <alignment horizontal="lef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wrapText="1"/>
    </xf>
    <xf numFmtId="0" fontId="43" fillId="10" borderId="0" xfId="0" applyFont="1" applyFill="1" applyAlignment="1">
      <alignment vertical="center"/>
    </xf>
    <xf numFmtId="0" fontId="49" fillId="0" borderId="0" xfId="0" applyFont="1"/>
    <xf numFmtId="0" fontId="51" fillId="0" borderId="0" xfId="0" applyFont="1"/>
    <xf numFmtId="0" fontId="51" fillId="0" borderId="0" xfId="0" applyFont="1" applyFill="1" applyBorder="1" applyAlignment="1">
      <alignment horizontal="center" vertical="center"/>
    </xf>
    <xf numFmtId="0" fontId="51" fillId="0" borderId="0" xfId="0" applyFont="1" applyAlignment="1">
      <alignment horizontal="center" vertical="center"/>
    </xf>
    <xf numFmtId="0" fontId="47" fillId="8" borderId="64" xfId="0" applyFont="1" applyFill="1" applyBorder="1" applyAlignment="1" applyProtection="1">
      <alignment horizontal="center" vertical="center"/>
    </xf>
    <xf numFmtId="178" fontId="47" fillId="8" borderId="1" xfId="0" applyNumberFormat="1" applyFont="1" applyFill="1" applyBorder="1" applyAlignment="1" applyProtection="1">
      <alignment horizontal="center"/>
    </xf>
    <xf numFmtId="178" fontId="47" fillId="8" borderId="1" xfId="0" applyNumberFormat="1" applyFont="1" applyFill="1" applyBorder="1" applyAlignment="1" applyProtection="1">
      <alignment horizontal="center" vertical="center"/>
    </xf>
    <xf numFmtId="178" fontId="47" fillId="8" borderId="1" xfId="0" applyNumberFormat="1" applyFont="1" applyFill="1" applyBorder="1" applyProtection="1"/>
    <xf numFmtId="178" fontId="47" fillId="8" borderId="11" xfId="0" applyNumberFormat="1" applyFont="1" applyFill="1" applyBorder="1"/>
    <xf numFmtId="0" fontId="47" fillId="8" borderId="7" xfId="0" applyFont="1" applyFill="1" applyBorder="1" applyAlignment="1">
      <alignment horizontal="center" vertical="center"/>
    </xf>
    <xf numFmtId="178" fontId="47" fillId="8" borderId="7" xfId="0" applyNumberFormat="1" applyFont="1" applyFill="1" applyBorder="1" applyAlignment="1">
      <alignment horizontal="center" vertical="center"/>
    </xf>
    <xf numFmtId="178" fontId="47" fillId="8" borderId="7" xfId="0" applyNumberFormat="1" applyFont="1" applyFill="1" applyBorder="1" applyAlignment="1">
      <alignment horizontal="center"/>
    </xf>
    <xf numFmtId="0" fontId="51" fillId="8" borderId="1" xfId="0" applyFont="1" applyFill="1" applyBorder="1" applyAlignment="1">
      <alignment horizontal="center"/>
    </xf>
    <xf numFmtId="0" fontId="51" fillId="8" borderId="1" xfId="0" applyFont="1" applyFill="1" applyBorder="1" applyAlignment="1">
      <alignment horizontal="center" vertical="center"/>
    </xf>
    <xf numFmtId="178" fontId="51" fillId="8" borderId="1" xfId="0" applyNumberFormat="1" applyFont="1" applyFill="1" applyBorder="1" applyAlignment="1">
      <alignment horizontal="center"/>
    </xf>
    <xf numFmtId="178" fontId="51" fillId="8" borderId="7" xfId="0" applyNumberFormat="1" applyFont="1" applyFill="1" applyBorder="1" applyAlignment="1">
      <alignment horizontal="center" vertical="center"/>
    </xf>
    <xf numFmtId="178" fontId="51" fillId="8" borderId="1" xfId="0" applyNumberFormat="1" applyFont="1" applyFill="1" applyBorder="1" applyAlignment="1">
      <alignment horizontal="center" vertical="center"/>
    </xf>
    <xf numFmtId="178" fontId="47" fillId="0" borderId="0" xfId="0" applyNumberFormat="1" applyFont="1" applyFill="1" applyBorder="1"/>
    <xf numFmtId="177" fontId="47" fillId="0" borderId="0" xfId="0" applyNumberFormat="1" applyFont="1" applyFill="1" applyBorder="1" applyProtection="1"/>
    <xf numFmtId="0" fontId="51" fillId="0" borderId="0" xfId="0" applyFont="1"/>
    <xf numFmtId="0" fontId="51" fillId="0" borderId="0" xfId="0" applyFont="1"/>
    <xf numFmtId="180" fontId="47" fillId="8" borderId="1" xfId="0" applyNumberFormat="1" applyFont="1" applyFill="1" applyBorder="1" applyAlignment="1" applyProtection="1">
      <alignment horizontal="center" vertical="center"/>
    </xf>
    <xf numFmtId="183" fontId="47" fillId="8" borderId="1" xfId="0" applyNumberFormat="1" applyFont="1" applyFill="1" applyBorder="1" applyAlignment="1" applyProtection="1">
      <alignment horizontal="center" vertical="center" shrinkToFit="1"/>
    </xf>
    <xf numFmtId="0" fontId="51" fillId="0" borderId="1" xfId="0" applyFont="1" applyBorder="1" applyAlignment="1">
      <alignment vertical="center"/>
    </xf>
    <xf numFmtId="0" fontId="51" fillId="0" borderId="0" xfId="0" applyFont="1" applyProtection="1"/>
    <xf numFmtId="0" fontId="63" fillId="0" borderId="0" xfId="0" applyFont="1" applyAlignment="1" applyProtection="1">
      <alignment vertical="top" wrapText="1"/>
    </xf>
    <xf numFmtId="0" fontId="50" fillId="0" borderId="0" xfId="0" applyFont="1" applyBorder="1" applyAlignment="1" applyProtection="1">
      <alignment vertical="top" wrapText="1"/>
    </xf>
    <xf numFmtId="0" fontId="50" fillId="0" borderId="0" xfId="0" applyFont="1"/>
    <xf numFmtId="0" fontId="50" fillId="0" borderId="0" xfId="0" applyFont="1" applyAlignment="1" applyProtection="1">
      <alignment vertical="center"/>
    </xf>
    <xf numFmtId="0" fontId="20" fillId="0" borderId="0" xfId="0" applyFont="1" applyBorder="1" applyAlignment="1" applyProtection="1">
      <alignment vertical="top" wrapText="1"/>
    </xf>
    <xf numFmtId="0" fontId="47" fillId="8" borderId="10" xfId="0" applyFont="1" applyFill="1" applyBorder="1" applyAlignment="1">
      <alignment horizontal="center" vertical="center"/>
    </xf>
    <xf numFmtId="49" fontId="47" fillId="0" borderId="0" xfId="0" applyNumberFormat="1" applyFont="1" applyProtection="1"/>
    <xf numFmtId="0" fontId="43" fillId="10" borderId="0" xfId="0" applyFont="1" applyFill="1"/>
    <xf numFmtId="0" fontId="47" fillId="0" borderId="0" xfId="0" applyFont="1" applyAlignment="1">
      <alignment horizontal="left" vertical="top" wrapText="1"/>
    </xf>
    <xf numFmtId="0" fontId="47" fillId="0" borderId="0" xfId="0" applyFont="1" applyAlignment="1" applyProtection="1">
      <alignment horizontal="left" vertical="top" wrapText="1"/>
    </xf>
    <xf numFmtId="0" fontId="47" fillId="0" borderId="0" xfId="0" applyNumberFormat="1" applyFont="1" applyFill="1" applyBorder="1" applyAlignment="1" applyProtection="1">
      <alignment horizontal="center"/>
    </xf>
    <xf numFmtId="0" fontId="47" fillId="0" borderId="0" xfId="0" applyNumberFormat="1" applyFont="1" applyAlignment="1" applyProtection="1">
      <alignment horizontal="left" vertical="top"/>
    </xf>
    <xf numFmtId="0" fontId="47" fillId="0" borderId="0" xfId="0" applyFont="1" applyFill="1" applyBorder="1" applyProtection="1"/>
    <xf numFmtId="178" fontId="47" fillId="0" borderId="0" xfId="0" applyNumberFormat="1" applyFont="1" applyFill="1" applyBorder="1" applyAlignment="1">
      <alignment horizontal="left" vertical="top"/>
    </xf>
    <xf numFmtId="179" fontId="47" fillId="0" borderId="0" xfId="0" applyNumberFormat="1" applyFont="1" applyAlignment="1" applyProtection="1">
      <alignment horizontal="left" vertical="top" wrapText="1"/>
    </xf>
    <xf numFmtId="0" fontId="47" fillId="0" borderId="0" xfId="0" applyNumberFormat="1" applyFont="1" applyAlignment="1" applyProtection="1">
      <alignment horizontal="left" vertical="top" wrapText="1"/>
    </xf>
    <xf numFmtId="0" fontId="47" fillId="0" borderId="0" xfId="0" applyFont="1" applyAlignment="1" applyProtection="1">
      <alignment horizontal="left" vertical="top"/>
    </xf>
    <xf numFmtId="0" fontId="47" fillId="0" borderId="0" xfId="0" applyFont="1" applyFill="1" applyProtection="1"/>
    <xf numFmtId="0" fontId="47" fillId="0" borderId="0" xfId="0" applyNumberFormat="1" applyFont="1" applyFill="1" applyProtection="1"/>
    <xf numFmtId="179" fontId="47" fillId="0" borderId="0" xfId="0" applyNumberFormat="1" applyFont="1" applyFill="1" applyProtection="1"/>
    <xf numFmtId="0" fontId="47" fillId="0" borderId="0" xfId="0" applyNumberFormat="1" applyFont="1" applyFill="1" applyBorder="1" applyAlignment="1" applyProtection="1">
      <alignment horizontal="center" vertical="center"/>
    </xf>
    <xf numFmtId="179" fontId="47" fillId="8" borderId="1" xfId="0" applyNumberFormat="1" applyFont="1" applyFill="1" applyBorder="1" applyAlignment="1">
      <alignment horizontal="center" vertical="center"/>
    </xf>
    <xf numFmtId="0" fontId="47" fillId="8" borderId="1" xfId="0" applyFont="1" applyFill="1" applyBorder="1" applyAlignment="1">
      <alignment horizontal="center" vertical="center" shrinkToFit="1"/>
    </xf>
    <xf numFmtId="0" fontId="47" fillId="0" borderId="0" xfId="0" applyFont="1" applyFill="1" applyBorder="1" applyAlignment="1" applyProtection="1">
      <alignment horizontal="left" vertical="top"/>
    </xf>
    <xf numFmtId="0" fontId="47" fillId="0" borderId="0" xfId="0" applyNumberFormat="1" applyFont="1" applyFill="1" applyBorder="1" applyAlignment="1" applyProtection="1">
      <alignment horizontal="left" vertical="top"/>
    </xf>
    <xf numFmtId="0" fontId="47" fillId="0" borderId="0" xfId="0" applyNumberFormat="1" applyFont="1" applyFill="1" applyAlignment="1" applyProtection="1">
      <alignment horizontal="left" vertical="top"/>
    </xf>
    <xf numFmtId="0" fontId="47" fillId="0" borderId="0" xfId="0" applyFont="1" applyFill="1" applyBorder="1" applyAlignment="1" applyProtection="1">
      <alignment horizontal="left" vertical="top" wrapText="1"/>
    </xf>
    <xf numFmtId="0" fontId="47" fillId="0" borderId="0" xfId="0" applyNumberFormat="1" applyFont="1" applyFill="1" applyAlignment="1" applyProtection="1">
      <alignment horizontal="left" vertical="top" wrapText="1"/>
    </xf>
    <xf numFmtId="0" fontId="47" fillId="0" borderId="0" xfId="0" applyFont="1" applyAlignment="1">
      <alignment horizontal="left" vertical="top"/>
    </xf>
    <xf numFmtId="177" fontId="47" fillId="0" borderId="0" xfId="0" applyNumberFormat="1" applyFont="1" applyFill="1" applyBorder="1" applyAlignment="1" applyProtection="1">
      <alignment horizontal="center" vertical="center" shrinkToFit="1"/>
    </xf>
    <xf numFmtId="0" fontId="47" fillId="0" borderId="0" xfId="0" applyNumberFormat="1" applyFont="1" applyFill="1" applyBorder="1" applyAlignment="1" applyProtection="1">
      <alignment horizontal="center" vertical="center" shrinkToFit="1"/>
    </xf>
    <xf numFmtId="0" fontId="47" fillId="0" borderId="0" xfId="0" applyFont="1" applyFill="1" applyBorder="1" applyAlignment="1">
      <alignment horizontal="center" vertical="center"/>
    </xf>
    <xf numFmtId="178" fontId="47" fillId="0" borderId="0" xfId="0" applyNumberFormat="1" applyFont="1" applyFill="1" applyBorder="1" applyAlignment="1" applyProtection="1">
      <alignment horizontal="center" vertical="center"/>
    </xf>
    <xf numFmtId="177" fontId="47" fillId="0" borderId="0" xfId="0" applyNumberFormat="1" applyFont="1" applyFill="1" applyBorder="1" applyAlignment="1" applyProtection="1">
      <alignment horizontal="left" vertical="top" wrapText="1" shrinkToFit="1"/>
    </xf>
    <xf numFmtId="177" fontId="47" fillId="0" borderId="0" xfId="0" applyNumberFormat="1" applyFont="1" applyFill="1" applyBorder="1" applyAlignment="1" applyProtection="1">
      <alignment horizontal="left" vertical="top" wrapText="1"/>
    </xf>
    <xf numFmtId="0" fontId="47" fillId="0" borderId="0" xfId="0" applyFont="1" applyFill="1" applyBorder="1" applyAlignment="1">
      <alignment horizontal="center"/>
    </xf>
    <xf numFmtId="180" fontId="47" fillId="0" borderId="0" xfId="0" applyNumberFormat="1" applyFont="1" applyFill="1" applyBorder="1" applyAlignment="1" applyProtection="1">
      <alignment horizontal="center" vertical="center"/>
    </xf>
    <xf numFmtId="183" fontId="47" fillId="0" borderId="0" xfId="0" applyNumberFormat="1" applyFont="1" applyFill="1" applyBorder="1" applyAlignment="1" applyProtection="1">
      <alignment horizontal="center" vertical="center" shrinkToFit="1"/>
    </xf>
    <xf numFmtId="183" fontId="47" fillId="0" borderId="0" xfId="0" applyNumberFormat="1" applyFont="1" applyFill="1" applyBorder="1" applyAlignment="1" applyProtection="1">
      <alignment horizontal="left" vertical="top" wrapText="1"/>
    </xf>
    <xf numFmtId="0" fontId="47" fillId="8" borderId="1" xfId="0" applyFont="1" applyFill="1" applyBorder="1" applyAlignment="1" applyProtection="1"/>
    <xf numFmtId="179" fontId="47" fillId="8" borderId="1" xfId="0" applyNumberFormat="1" applyFont="1" applyFill="1" applyBorder="1" applyAlignment="1" applyProtection="1"/>
    <xf numFmtId="0" fontId="47" fillId="0" borderId="0" xfId="0" applyFont="1" applyAlignment="1">
      <alignment vertical="top" wrapText="1"/>
    </xf>
    <xf numFmtId="178" fontId="47" fillId="0" borderId="0" xfId="0" applyNumberFormat="1" applyFont="1" applyFill="1" applyBorder="1" applyAlignment="1">
      <alignment vertical="top" wrapText="1"/>
    </xf>
    <xf numFmtId="0" fontId="47" fillId="0" borderId="0" xfId="0" applyFont="1" applyFill="1" applyBorder="1" applyAlignment="1">
      <alignment horizontal="left" vertical="top" wrapText="1"/>
    </xf>
    <xf numFmtId="0" fontId="0" fillId="8" borderId="0" xfId="0" applyFill="1" applyAlignment="1">
      <alignment vertical="center"/>
    </xf>
    <xf numFmtId="49" fontId="0" fillId="8" borderId="0" xfId="0" applyNumberFormat="1" applyFill="1" applyAlignment="1">
      <alignment horizontal="right" vertical="center"/>
    </xf>
    <xf numFmtId="0" fontId="0" fillId="8" borderId="0" xfId="0" applyFill="1" applyAlignment="1">
      <alignment horizontal="left" vertical="center"/>
    </xf>
    <xf numFmtId="0" fontId="0" fillId="8" borderId="0" xfId="0" applyFill="1" applyAlignment="1">
      <alignment horizontal="center" vertical="center"/>
    </xf>
    <xf numFmtId="0" fontId="0" fillId="8" borderId="0" xfId="0" applyFill="1" applyBorder="1" applyAlignment="1">
      <alignment vertical="center"/>
    </xf>
    <xf numFmtId="0" fontId="0" fillId="8" borderId="0" xfId="0" applyFill="1" applyAlignment="1">
      <alignment horizontal="right" vertical="center"/>
    </xf>
    <xf numFmtId="0" fontId="0" fillId="10" borderId="0" xfId="0" applyFill="1" applyAlignment="1">
      <alignment vertical="center"/>
    </xf>
    <xf numFmtId="0" fontId="0" fillId="10" borderId="0" xfId="0" applyFill="1"/>
    <xf numFmtId="0" fontId="0" fillId="4" borderId="0" xfId="0" applyFill="1" applyProtection="1"/>
    <xf numFmtId="0" fontId="41" fillId="4" borderId="0" xfId="0" applyFont="1" applyFill="1" applyProtection="1"/>
    <xf numFmtId="0" fontId="0" fillId="4" borderId="0" xfId="0" applyFill="1"/>
    <xf numFmtId="0" fontId="66" fillId="0" borderId="12" xfId="0" applyFont="1" applyFill="1" applyBorder="1" applyAlignment="1" applyProtection="1"/>
    <xf numFmtId="0" fontId="67" fillId="0" borderId="12" xfId="0" applyFont="1" applyFill="1" applyBorder="1" applyProtection="1"/>
    <xf numFmtId="0" fontId="66" fillId="0" borderId="12" xfId="0" applyFont="1" applyFill="1" applyBorder="1"/>
    <xf numFmtId="0" fontId="66" fillId="0" borderId="12" xfId="0" applyFont="1" applyFill="1" applyBorder="1" applyProtection="1"/>
    <xf numFmtId="177" fontId="47" fillId="8" borderId="1" xfId="0" applyNumberFormat="1" applyFont="1" applyFill="1" applyBorder="1" applyAlignment="1">
      <alignment horizontal="center" vertical="center"/>
    </xf>
    <xf numFmtId="0" fontId="47" fillId="0" borderId="0" xfId="0" applyFont="1" applyFill="1" applyAlignment="1">
      <alignment vertical="top" wrapText="1"/>
    </xf>
    <xf numFmtId="0" fontId="47" fillId="0" borderId="0" xfId="0" applyFont="1" applyAlignment="1">
      <alignment wrapText="1"/>
    </xf>
    <xf numFmtId="0" fontId="51" fillId="0" borderId="1" xfId="0" applyFont="1" applyBorder="1" applyAlignment="1">
      <alignment horizontal="center" vertical="center"/>
    </xf>
    <xf numFmtId="0" fontId="47" fillId="8" borderId="1" xfId="0" applyNumberFormat="1" applyFont="1" applyFill="1" applyBorder="1" applyAlignment="1" applyProtection="1">
      <alignment horizontal="center" vertical="center"/>
    </xf>
    <xf numFmtId="0" fontId="47" fillId="8" borderId="1" xfId="0" applyNumberFormat="1" applyFont="1" applyFill="1" applyBorder="1" applyAlignment="1" applyProtection="1">
      <alignment horizontal="center" vertical="center"/>
    </xf>
    <xf numFmtId="0" fontId="47" fillId="0" borderId="0" xfId="0" applyFont="1" applyAlignment="1">
      <alignment vertical="top"/>
    </xf>
    <xf numFmtId="0" fontId="47" fillId="8" borderId="1" xfId="0" applyFont="1" applyFill="1" applyBorder="1" applyAlignment="1">
      <alignment vertical="center"/>
    </xf>
    <xf numFmtId="0" fontId="47" fillId="8" borderId="1" xfId="0" applyFont="1" applyFill="1" applyBorder="1" applyAlignment="1" applyProtection="1">
      <alignment horizontal="left" vertical="center" wrapText="1"/>
    </xf>
    <xf numFmtId="179" fontId="47" fillId="8" borderId="1" xfId="0" applyNumberFormat="1" applyFont="1" applyFill="1" applyBorder="1" applyAlignment="1" applyProtection="1">
      <alignment horizontal="left" vertical="center" wrapText="1"/>
    </xf>
    <xf numFmtId="0" fontId="51" fillId="8" borderId="1" xfId="0" applyFont="1" applyFill="1" applyBorder="1" applyProtection="1"/>
    <xf numFmtId="178" fontId="51" fillId="0" borderId="0" xfId="0" applyNumberFormat="1" applyFont="1" applyFill="1" applyBorder="1" applyAlignment="1" applyProtection="1">
      <alignment horizontal="center" vertical="center"/>
    </xf>
    <xf numFmtId="183" fontId="47" fillId="8" borderId="1" xfId="0" applyNumberFormat="1" applyFont="1" applyFill="1" applyBorder="1" applyAlignment="1">
      <alignment horizontal="center" vertical="center"/>
    </xf>
    <xf numFmtId="0" fontId="68" fillId="0" borderId="0" xfId="0" applyFont="1" applyAlignment="1">
      <alignment horizontal="left" vertical="top" wrapText="1"/>
    </xf>
    <xf numFmtId="0" fontId="47" fillId="0" borderId="0" xfId="0" applyFont="1" applyAlignment="1">
      <alignment vertical="center"/>
    </xf>
    <xf numFmtId="0" fontId="68" fillId="0" borderId="0" xfId="0" applyNumberFormat="1" applyFont="1" applyAlignment="1" applyProtection="1">
      <alignment horizontal="center" vertical="center"/>
    </xf>
    <xf numFmtId="0" fontId="68" fillId="0" borderId="0" xfId="0" applyFont="1" applyFill="1" applyAlignment="1" applyProtection="1">
      <alignment horizontal="center" vertical="center"/>
    </xf>
    <xf numFmtId="0" fontId="68" fillId="0" borderId="0" xfId="0" applyFont="1" applyAlignment="1" applyProtection="1">
      <alignment horizontal="center" vertical="center"/>
    </xf>
    <xf numFmtId="0" fontId="49" fillId="4" borderId="0" xfId="0" applyFont="1" applyFill="1"/>
    <xf numFmtId="0" fontId="49" fillId="4" borderId="0" xfId="0" applyFont="1" applyFill="1" applyAlignment="1">
      <alignment horizontal="left"/>
    </xf>
    <xf numFmtId="0" fontId="49" fillId="0" borderId="0" xfId="0" applyFont="1" applyAlignment="1">
      <alignment horizontal="left"/>
    </xf>
    <xf numFmtId="177" fontId="47" fillId="0" borderId="41" xfId="0" applyNumberFormat="1" applyFont="1" applyBorder="1" applyAlignment="1" applyProtection="1">
      <alignment horizontal="left" vertical="center"/>
    </xf>
    <xf numFmtId="177" fontId="47" fillId="0" borderId="41" xfId="0" applyNumberFormat="1" applyFont="1" applyBorder="1" applyAlignment="1" applyProtection="1">
      <alignment horizontal="center" vertical="center" shrinkToFit="1"/>
    </xf>
    <xf numFmtId="0" fontId="47" fillId="0" borderId="41" xfId="0" applyNumberFormat="1" applyFont="1" applyBorder="1" applyAlignment="1" applyProtection="1">
      <alignment horizontal="center" vertical="center" shrinkToFit="1"/>
    </xf>
    <xf numFmtId="179" fontId="47" fillId="0" borderId="41" xfId="0" applyNumberFormat="1" applyFont="1" applyBorder="1" applyAlignment="1" applyProtection="1">
      <alignment horizontal="center" vertical="center" shrinkToFit="1"/>
    </xf>
    <xf numFmtId="0" fontId="47" fillId="8" borderId="64" xfId="0" applyNumberFormat="1" applyFont="1" applyFill="1" applyBorder="1" applyAlignment="1" applyProtection="1">
      <alignment horizontal="center" vertical="center"/>
    </xf>
    <xf numFmtId="179" fontId="47" fillId="8" borderId="64" xfId="0" applyNumberFormat="1" applyFont="1" applyFill="1" applyBorder="1" applyAlignment="1" applyProtection="1">
      <alignment horizontal="center" vertical="center"/>
    </xf>
    <xf numFmtId="0" fontId="47" fillId="0" borderId="41" xfId="0" applyNumberFormat="1" applyFont="1" applyBorder="1" applyProtection="1"/>
    <xf numFmtId="0" fontId="47" fillId="8" borderId="64" xfId="0" applyFont="1" applyFill="1" applyBorder="1" applyAlignment="1">
      <alignment horizontal="center" vertical="center"/>
    </xf>
    <xf numFmtId="182" fontId="47" fillId="8" borderId="64" xfId="0" applyNumberFormat="1" applyFont="1" applyFill="1" applyBorder="1" applyAlignment="1" applyProtection="1">
      <alignment horizontal="center" vertical="center"/>
    </xf>
    <xf numFmtId="0" fontId="47" fillId="8" borderId="64" xfId="0" applyNumberFormat="1" applyFont="1" applyFill="1" applyBorder="1" applyProtection="1"/>
    <xf numFmtId="179" fontId="47" fillId="0" borderId="41" xfId="0" applyNumberFormat="1" applyFont="1" applyBorder="1" applyProtection="1"/>
    <xf numFmtId="0" fontId="47" fillId="0" borderId="41" xfId="0" applyFont="1" applyBorder="1" applyProtection="1"/>
    <xf numFmtId="0" fontId="47" fillId="0" borderId="41" xfId="0" applyFont="1" applyBorder="1" applyAlignment="1" applyProtection="1">
      <alignment vertical="top" wrapText="1"/>
    </xf>
    <xf numFmtId="0" fontId="47" fillId="0" borderId="41" xfId="0" applyNumberFormat="1" applyFont="1" applyBorder="1" applyAlignment="1" applyProtection="1">
      <alignment horizontal="left" vertical="top" wrapText="1"/>
    </xf>
    <xf numFmtId="179" fontId="47" fillId="0" borderId="41" xfId="0" applyNumberFormat="1" applyFont="1" applyBorder="1" applyAlignment="1" applyProtection="1">
      <alignment vertical="top" wrapText="1"/>
    </xf>
    <xf numFmtId="185" fontId="47" fillId="8" borderId="64" xfId="0" applyNumberFormat="1" applyFont="1" applyFill="1" applyBorder="1" applyAlignment="1" applyProtection="1">
      <alignment horizontal="center" vertical="center"/>
    </xf>
    <xf numFmtId="0" fontId="47" fillId="8" borderId="64" xfId="0" applyFont="1" applyFill="1" applyBorder="1" applyProtection="1"/>
    <xf numFmtId="0" fontId="47" fillId="8" borderId="64" xfId="0" applyFont="1" applyFill="1" applyBorder="1" applyAlignment="1">
      <alignment horizontal="left" vertical="top" wrapText="1"/>
    </xf>
    <xf numFmtId="0" fontId="47" fillId="8" borderId="64" xfId="0" applyFont="1" applyFill="1" applyBorder="1" applyAlignment="1">
      <alignment horizontal="center"/>
    </xf>
    <xf numFmtId="176" fontId="47" fillId="8" borderId="64" xfId="0" applyNumberFormat="1" applyFont="1" applyFill="1" applyBorder="1"/>
    <xf numFmtId="0" fontId="47" fillId="8" borderId="64" xfId="0" applyFont="1" applyFill="1" applyBorder="1"/>
    <xf numFmtId="0" fontId="51" fillId="10" borderId="0" xfId="0" applyFont="1" applyFill="1" applyAlignment="1" applyProtection="1">
      <alignment vertical="center"/>
      <protection hidden="1"/>
    </xf>
    <xf numFmtId="49" fontId="51" fillId="10" borderId="0" xfId="0" applyNumberFormat="1" applyFont="1" applyFill="1" applyAlignment="1" applyProtection="1">
      <alignment vertical="center"/>
      <protection hidden="1"/>
    </xf>
    <xf numFmtId="0" fontId="49" fillId="10" borderId="0" xfId="0" applyFont="1" applyFill="1" applyAlignment="1" applyProtection="1">
      <alignment vertical="center"/>
      <protection hidden="1"/>
    </xf>
    <xf numFmtId="0" fontId="43" fillId="10" borderId="0" xfId="0" applyFont="1" applyFill="1" applyAlignment="1" applyProtection="1">
      <alignment vertical="center"/>
      <protection hidden="1"/>
    </xf>
    <xf numFmtId="0" fontId="51" fillId="0" borderId="0" xfId="0" applyFont="1" applyProtection="1">
      <protection hidden="1"/>
    </xf>
    <xf numFmtId="49" fontId="51" fillId="0" borderId="0" xfId="0" applyNumberFormat="1" applyFont="1" applyAlignment="1" applyProtection="1">
      <alignment horizontal="right"/>
      <protection hidden="1"/>
    </xf>
    <xf numFmtId="0" fontId="43" fillId="0" borderId="0" xfId="0" applyFont="1" applyProtection="1">
      <protection hidden="1"/>
    </xf>
    <xf numFmtId="49" fontId="51" fillId="0" borderId="0" xfId="0" applyNumberFormat="1" applyFont="1" applyProtection="1">
      <protection hidden="1"/>
    </xf>
    <xf numFmtId="0" fontId="51" fillId="0" borderId="0" xfId="0" applyFont="1" applyBorder="1" applyProtection="1">
      <protection hidden="1"/>
    </xf>
    <xf numFmtId="0" fontId="51" fillId="0" borderId="0" xfId="0" applyFont="1" applyBorder="1" applyAlignment="1" applyProtection="1">
      <alignment vertical="center" wrapText="1"/>
      <protection hidden="1"/>
    </xf>
    <xf numFmtId="0" fontId="43" fillId="0" borderId="0" xfId="0" applyFont="1" applyBorder="1" applyProtection="1">
      <protection hidden="1"/>
    </xf>
    <xf numFmtId="0" fontId="14" fillId="0" borderId="0" xfId="0" applyFont="1" applyBorder="1" applyAlignment="1" applyProtection="1">
      <alignment vertical="center" wrapText="1"/>
      <protection hidden="1"/>
    </xf>
    <xf numFmtId="0" fontId="51" fillId="3" borderId="1" xfId="0" applyFont="1" applyFill="1" applyBorder="1" applyAlignment="1" applyProtection="1">
      <alignment horizontal="center" vertical="center"/>
      <protection hidden="1"/>
    </xf>
    <xf numFmtId="0" fontId="51" fillId="3" borderId="1" xfId="0" applyFont="1" applyFill="1" applyBorder="1" applyAlignment="1" applyProtection="1">
      <alignment horizontal="center" vertical="center" wrapText="1"/>
      <protection hidden="1"/>
    </xf>
    <xf numFmtId="0" fontId="54" fillId="0" borderId="0" xfId="0" applyFont="1" applyAlignment="1" applyProtection="1">
      <alignment vertical="center"/>
      <protection hidden="1"/>
    </xf>
    <xf numFmtId="0" fontId="51" fillId="0" borderId="0" xfId="0" applyFont="1" applyBorder="1" applyAlignment="1" applyProtection="1">
      <alignment horizontal="center" vertical="center" wrapText="1"/>
      <protection hidden="1"/>
    </xf>
    <xf numFmtId="0" fontId="51" fillId="8" borderId="0" xfId="0" applyFont="1" applyFill="1" applyProtection="1">
      <protection hidden="1"/>
    </xf>
    <xf numFmtId="49" fontId="51" fillId="8" borderId="0" xfId="0" applyNumberFormat="1" applyFont="1" applyFill="1" applyProtection="1">
      <protection hidden="1"/>
    </xf>
    <xf numFmtId="0" fontId="43" fillId="9" borderId="0" xfId="0" applyFont="1" applyFill="1" applyProtection="1">
      <protection hidden="1"/>
    </xf>
    <xf numFmtId="0" fontId="51" fillId="8" borderId="0" xfId="0" applyFont="1" applyFill="1" applyAlignment="1" applyProtection="1">
      <alignment horizontal="right"/>
      <protection hidden="1"/>
    </xf>
    <xf numFmtId="0" fontId="45" fillId="9" borderId="0" xfId="0" applyFont="1" applyFill="1" applyProtection="1">
      <protection hidden="1"/>
    </xf>
    <xf numFmtId="0" fontId="51" fillId="0" borderId="0" xfId="0" applyFont="1" applyFill="1" applyProtection="1">
      <protection hidden="1"/>
    </xf>
    <xf numFmtId="49" fontId="51" fillId="0" borderId="0" xfId="0" applyNumberFormat="1" applyFont="1" applyFill="1" applyProtection="1">
      <protection hidden="1"/>
    </xf>
    <xf numFmtId="0" fontId="43" fillId="0" borderId="0" xfId="0" applyFont="1" applyFill="1" applyProtection="1">
      <protection hidden="1"/>
    </xf>
    <xf numFmtId="0" fontId="51" fillId="10" borderId="0" xfId="0" applyFont="1" applyFill="1" applyProtection="1">
      <protection hidden="1"/>
    </xf>
    <xf numFmtId="49" fontId="51" fillId="10" borderId="0" xfId="0" applyNumberFormat="1" applyFont="1" applyFill="1" applyAlignment="1" applyProtection="1">
      <alignment horizontal="right" vertical="center"/>
      <protection hidden="1"/>
    </xf>
    <xf numFmtId="0" fontId="51" fillId="10" borderId="0" xfId="0" applyFont="1" applyFill="1" applyAlignment="1" applyProtection="1">
      <alignment horizontal="center" vertical="center"/>
      <protection hidden="1"/>
    </xf>
    <xf numFmtId="0" fontId="51" fillId="0" borderId="0" xfId="0" applyFont="1" applyAlignment="1" applyProtection="1">
      <alignment horizontal="center" vertical="center"/>
      <protection hidden="1"/>
    </xf>
    <xf numFmtId="0" fontId="0" fillId="0" borderId="0" xfId="0" applyProtection="1">
      <protection hidden="1"/>
    </xf>
    <xf numFmtId="0" fontId="51" fillId="2" borderId="1" xfId="0" applyFont="1" applyFill="1" applyBorder="1" applyAlignment="1" applyProtection="1">
      <alignment horizontal="center" vertical="center"/>
      <protection hidden="1"/>
    </xf>
    <xf numFmtId="0" fontId="51" fillId="0" borderId="0" xfId="0" applyFont="1" applyFill="1" applyAlignment="1" applyProtection="1">
      <alignment horizontal="center" vertical="center"/>
      <protection hidden="1"/>
    </xf>
    <xf numFmtId="0" fontId="51" fillId="0" borderId="0" xfId="0" applyFont="1" applyAlignment="1" applyProtection="1">
      <alignment vertical="center"/>
      <protection hidden="1"/>
    </xf>
    <xf numFmtId="0" fontId="51" fillId="0" borderId="0" xfId="0" applyFont="1" applyBorder="1" applyAlignment="1" applyProtection="1">
      <alignment vertical="center"/>
      <protection hidden="1"/>
    </xf>
    <xf numFmtId="0" fontId="51" fillId="0" borderId="0" xfId="0" applyFont="1" applyBorder="1" applyAlignment="1" applyProtection="1">
      <alignment horizontal="center" vertical="center"/>
      <protection hidden="1"/>
    </xf>
    <xf numFmtId="0" fontId="49" fillId="8" borderId="0" xfId="0" applyFont="1" applyFill="1" applyProtection="1">
      <protection hidden="1"/>
    </xf>
    <xf numFmtId="0" fontId="51" fillId="8" borderId="0" xfId="0" applyFont="1" applyFill="1" applyAlignment="1" applyProtection="1">
      <alignment horizontal="center" vertical="center"/>
      <protection hidden="1"/>
    </xf>
    <xf numFmtId="0" fontId="49" fillId="8" borderId="0" xfId="0" applyFont="1" applyFill="1" applyAlignment="1" applyProtection="1">
      <alignment horizontal="right"/>
      <protection hidden="1"/>
    </xf>
    <xf numFmtId="0" fontId="56" fillId="0" borderId="0" xfId="3" applyFont="1" applyFill="1" applyProtection="1">
      <protection hidden="1"/>
    </xf>
    <xf numFmtId="0" fontId="51" fillId="10" borderId="0" xfId="0" applyFont="1" applyFill="1" applyAlignment="1" applyProtection="1">
      <alignment horizontal="left" vertical="center"/>
      <protection hidden="1"/>
    </xf>
    <xf numFmtId="0" fontId="43" fillId="10" borderId="0" xfId="0" applyFont="1" applyFill="1" applyProtection="1">
      <protection hidden="1"/>
    </xf>
    <xf numFmtId="49" fontId="51" fillId="0" borderId="0" xfId="0" applyNumberFormat="1" applyFont="1" applyAlignment="1" applyProtection="1">
      <alignment horizontal="right" vertical="center"/>
      <protection hidden="1"/>
    </xf>
    <xf numFmtId="0" fontId="51" fillId="0" borderId="0" xfId="0" applyFont="1" applyAlignment="1" applyProtection="1">
      <alignment horizontal="left" vertical="center"/>
      <protection hidden="1"/>
    </xf>
    <xf numFmtId="0" fontId="58" fillId="0" borderId="0" xfId="0" applyFont="1" applyAlignment="1" applyProtection="1">
      <alignment horizontal="left" vertical="center"/>
      <protection hidden="1"/>
    </xf>
    <xf numFmtId="0" fontId="58" fillId="0" borderId="0" xfId="0" applyFont="1" applyProtection="1">
      <protection hidden="1"/>
    </xf>
    <xf numFmtId="0" fontId="51" fillId="2" borderId="1" xfId="0" applyFont="1" applyFill="1" applyBorder="1" applyProtection="1">
      <protection hidden="1"/>
    </xf>
    <xf numFmtId="0" fontId="51" fillId="0" borderId="0" xfId="0" applyFont="1" applyFill="1" applyBorder="1" applyAlignment="1" applyProtection="1">
      <alignment vertical="center"/>
      <protection hidden="1"/>
    </xf>
    <xf numFmtId="177" fontId="51" fillId="0" borderId="0" xfId="0" applyNumberFormat="1" applyFont="1" applyFill="1" applyBorder="1" applyAlignment="1" applyProtection="1">
      <alignment vertical="center"/>
      <protection hidden="1"/>
    </xf>
    <xf numFmtId="0" fontId="51" fillId="2" borderId="1" xfId="0" applyFont="1" applyFill="1" applyBorder="1" applyAlignment="1" applyProtection="1">
      <alignment horizontal="center"/>
      <protection hidden="1"/>
    </xf>
    <xf numFmtId="0" fontId="51" fillId="0" borderId="0" xfId="0" applyFont="1" applyFill="1" applyBorder="1" applyAlignment="1" applyProtection="1">
      <alignment horizontal="center"/>
      <protection hidden="1"/>
    </xf>
    <xf numFmtId="177" fontId="51" fillId="0" borderId="0" xfId="0" applyNumberFormat="1" applyFont="1" applyFill="1" applyBorder="1" applyAlignment="1" applyProtection="1">
      <alignment horizontal="right" vertical="center"/>
      <protection hidden="1"/>
    </xf>
    <xf numFmtId="0" fontId="51" fillId="2" borderId="1" xfId="0" applyFont="1" applyFill="1" applyBorder="1" applyAlignment="1" applyProtection="1">
      <alignment horizontal="center" vertical="center" shrinkToFit="1"/>
      <protection hidden="1"/>
    </xf>
    <xf numFmtId="0" fontId="2" fillId="0" borderId="0" xfId="0" applyFont="1" applyProtection="1">
      <protection hidden="1"/>
    </xf>
    <xf numFmtId="178" fontId="51" fillId="2" borderId="1" xfId="0" applyNumberFormat="1" applyFont="1" applyFill="1" applyBorder="1" applyAlignment="1" applyProtection="1">
      <alignment shrinkToFit="1"/>
      <protection hidden="1"/>
    </xf>
    <xf numFmtId="0" fontId="51" fillId="0" borderId="0" xfId="0" applyFont="1" applyFill="1" applyBorder="1" applyAlignment="1" applyProtection="1">
      <alignment horizontal="center" vertical="center"/>
      <protection hidden="1"/>
    </xf>
    <xf numFmtId="178" fontId="51" fillId="0" borderId="0" xfId="0" applyNumberFormat="1" applyFont="1" applyFill="1" applyBorder="1" applyProtection="1">
      <protection hidden="1"/>
    </xf>
    <xf numFmtId="0" fontId="51" fillId="0" borderId="0" xfId="0" applyFont="1" applyFill="1" applyBorder="1" applyAlignment="1" applyProtection="1">
      <alignment horizontal="right" vertical="center"/>
      <protection hidden="1"/>
    </xf>
    <xf numFmtId="0" fontId="51" fillId="0" borderId="0" xfId="0" applyFont="1" applyFill="1" applyBorder="1" applyAlignment="1" applyProtection="1">
      <alignment horizontal="left" vertical="center"/>
      <protection hidden="1"/>
    </xf>
    <xf numFmtId="0" fontId="56" fillId="8" borderId="0" xfId="3" applyFont="1" applyFill="1" applyAlignment="1" applyProtection="1">
      <alignment horizontal="left" vertical="center"/>
      <protection hidden="1"/>
    </xf>
    <xf numFmtId="0" fontId="56" fillId="8" borderId="0" xfId="3" applyFont="1" applyFill="1" applyProtection="1">
      <protection hidden="1"/>
    </xf>
    <xf numFmtId="0" fontId="51" fillId="10" borderId="0" xfId="0" applyFont="1" applyFill="1" applyBorder="1" applyAlignment="1" applyProtection="1">
      <alignment vertical="center"/>
      <protection hidden="1"/>
    </xf>
    <xf numFmtId="0" fontId="51" fillId="10" borderId="0" xfId="0" applyFont="1" applyFill="1" applyAlignment="1" applyProtection="1">
      <alignment horizontal="right" vertical="center"/>
      <protection hidden="1"/>
    </xf>
    <xf numFmtId="0" fontId="51" fillId="0" borderId="30" xfId="0" applyFont="1" applyBorder="1" applyAlignment="1" applyProtection="1">
      <alignment vertical="center"/>
      <protection hidden="1"/>
    </xf>
    <xf numFmtId="0" fontId="51" fillId="2" borderId="1" xfId="0" applyFont="1" applyFill="1" applyBorder="1" applyAlignment="1" applyProtection="1">
      <alignment horizontal="right" vertical="center"/>
      <protection hidden="1"/>
    </xf>
    <xf numFmtId="0" fontId="51" fillId="0" borderId="0" xfId="0" applyFont="1" applyAlignment="1" applyProtection="1">
      <alignment horizontal="right" vertical="center"/>
      <protection hidden="1"/>
    </xf>
    <xf numFmtId="0" fontId="51" fillId="0" borderId="3" xfId="0" applyFont="1" applyBorder="1" applyAlignment="1" applyProtection="1">
      <alignment vertical="center"/>
      <protection hidden="1"/>
    </xf>
    <xf numFmtId="0" fontId="51" fillId="0" borderId="0" xfId="0" applyFont="1" applyBorder="1" applyAlignment="1" applyProtection="1">
      <alignment horizontal="right" vertical="center"/>
      <protection hidden="1"/>
    </xf>
    <xf numFmtId="0" fontId="51" fillId="0" borderId="0" xfId="0" applyFont="1" applyFill="1" applyAlignment="1" applyProtection="1">
      <alignment vertical="center"/>
      <protection hidden="1"/>
    </xf>
    <xf numFmtId="49" fontId="51" fillId="0" borderId="0" xfId="0" applyNumberFormat="1" applyFont="1" applyFill="1" applyAlignment="1" applyProtection="1">
      <alignment horizontal="right" vertical="center"/>
      <protection hidden="1"/>
    </xf>
    <xf numFmtId="178" fontId="51" fillId="0" borderId="0" xfId="0" applyNumberFormat="1" applyFont="1" applyFill="1" applyBorder="1" applyAlignment="1" applyProtection="1">
      <alignment vertical="center"/>
      <protection hidden="1"/>
    </xf>
    <xf numFmtId="0" fontId="51" fillId="0" borderId="8" xfId="0" applyFont="1" applyBorder="1" applyAlignment="1" applyProtection="1">
      <alignment horizontal="center" vertical="center"/>
      <protection hidden="1"/>
    </xf>
    <xf numFmtId="0" fontId="54" fillId="0" borderId="0" xfId="0" applyFont="1" applyFill="1" applyBorder="1" applyAlignment="1" applyProtection="1">
      <alignment horizontal="left" vertical="center"/>
      <protection hidden="1"/>
    </xf>
    <xf numFmtId="0" fontId="51" fillId="8" borderId="0" xfId="0" applyFont="1" applyFill="1" applyAlignment="1" applyProtection="1">
      <alignment vertical="center"/>
      <protection hidden="1"/>
    </xf>
    <xf numFmtId="49" fontId="51" fillId="8" borderId="0" xfId="0" applyNumberFormat="1" applyFont="1" applyFill="1" applyAlignment="1" applyProtection="1">
      <alignment horizontal="right" vertical="center"/>
      <protection hidden="1"/>
    </xf>
    <xf numFmtId="0" fontId="51" fillId="8" borderId="0" xfId="0" applyFont="1" applyFill="1" applyBorder="1" applyAlignment="1" applyProtection="1">
      <alignment vertical="center"/>
      <protection hidden="1"/>
    </xf>
    <xf numFmtId="0" fontId="51" fillId="8" borderId="0" xfId="0" applyFont="1" applyFill="1" applyAlignment="1" applyProtection="1">
      <alignment horizontal="right" vertical="center"/>
      <protection hidden="1"/>
    </xf>
    <xf numFmtId="0" fontId="51" fillId="8" borderId="0" xfId="0" applyFont="1" applyFill="1" applyAlignment="1" applyProtection="1">
      <alignment horizontal="left" vertical="center"/>
      <protection hidden="1"/>
    </xf>
    <xf numFmtId="0" fontId="51" fillId="0" borderId="0" xfId="0" applyFont="1" applyFill="1" applyAlignment="1" applyProtection="1">
      <alignment horizontal="left" vertical="center"/>
      <protection hidden="1"/>
    </xf>
    <xf numFmtId="0" fontId="51" fillId="0" borderId="0" xfId="0" applyFont="1" applyFill="1" applyAlignment="1" applyProtection="1">
      <alignment horizontal="right" vertical="center"/>
      <protection hidden="1"/>
    </xf>
    <xf numFmtId="0" fontId="51" fillId="2" borderId="10" xfId="0" applyFont="1" applyFill="1" applyBorder="1" applyAlignment="1" applyProtection="1">
      <alignment horizontal="center" vertical="center"/>
      <protection hidden="1"/>
    </xf>
    <xf numFmtId="0" fontId="54" fillId="0" borderId="0" xfId="0" applyFont="1" applyAlignment="1" applyProtection="1">
      <alignment horizontal="right"/>
      <protection hidden="1"/>
    </xf>
    <xf numFmtId="0" fontId="43" fillId="0" borderId="0" xfId="0" applyFont="1" applyAlignment="1" applyProtection="1">
      <alignment vertical="center" wrapText="1"/>
      <protection hidden="1"/>
    </xf>
    <xf numFmtId="177" fontId="51" fillId="2" borderId="1" xfId="0" applyNumberFormat="1" applyFont="1" applyFill="1" applyBorder="1" applyProtection="1">
      <protection hidden="1"/>
    </xf>
    <xf numFmtId="178" fontId="51" fillId="0" borderId="0" xfId="0" applyNumberFormat="1" applyFont="1" applyBorder="1" applyProtection="1">
      <protection hidden="1"/>
    </xf>
    <xf numFmtId="178" fontId="51" fillId="10" borderId="0" xfId="0" applyNumberFormat="1" applyFont="1" applyFill="1" applyBorder="1" applyProtection="1">
      <protection hidden="1"/>
    </xf>
    <xf numFmtId="0" fontId="51" fillId="10" borderId="0" xfId="0" applyFont="1" applyFill="1" applyAlignment="1" applyProtection="1">
      <alignment vertical="center" wrapText="1"/>
      <protection hidden="1"/>
    </xf>
    <xf numFmtId="0" fontId="43" fillId="10" borderId="0" xfId="0" applyFont="1" applyFill="1" applyAlignment="1" applyProtection="1">
      <alignment vertical="center" wrapText="1"/>
      <protection hidden="1"/>
    </xf>
    <xf numFmtId="0" fontId="51" fillId="0" borderId="0" xfId="0" applyFont="1" applyFill="1" applyAlignment="1" applyProtection="1">
      <alignment horizontal="left" vertical="center" wrapText="1"/>
      <protection hidden="1"/>
    </xf>
    <xf numFmtId="0" fontId="51" fillId="0" borderId="0" xfId="0" applyFont="1" applyFill="1" applyAlignment="1" applyProtection="1">
      <alignment horizontal="left" vertical="top"/>
      <protection hidden="1"/>
    </xf>
    <xf numFmtId="0" fontId="51" fillId="0" borderId="0" xfId="0" applyFont="1" applyFill="1" applyAlignment="1" applyProtection="1">
      <alignment horizontal="left" vertical="top" wrapText="1"/>
      <protection hidden="1"/>
    </xf>
    <xf numFmtId="0" fontId="34" fillId="0" borderId="0" xfId="0" applyFont="1" applyAlignment="1" applyProtection="1">
      <alignment horizontal="left" vertical="center"/>
      <protection locked="0" hidden="1"/>
    </xf>
    <xf numFmtId="0" fontId="51" fillId="0" borderId="0" xfId="0" applyFont="1" applyAlignment="1" applyProtection="1">
      <alignment vertical="top" wrapText="1"/>
      <protection hidden="1"/>
    </xf>
    <xf numFmtId="0" fontId="51" fillId="0" borderId="0" xfId="0" applyFont="1" applyFill="1" applyAlignment="1" applyProtection="1">
      <alignment vertical="top" wrapText="1"/>
      <protection hidden="1"/>
    </xf>
    <xf numFmtId="0" fontId="51" fillId="2" borderId="10" xfId="0" applyFont="1" applyFill="1" applyBorder="1" applyAlignment="1" applyProtection="1">
      <alignment horizontal="center" vertical="center" wrapText="1"/>
      <protection hidden="1"/>
    </xf>
    <xf numFmtId="0" fontId="51" fillId="2" borderId="1" xfId="0" applyFont="1" applyFill="1" applyBorder="1" applyAlignment="1" applyProtection="1">
      <alignment horizontal="center" vertical="center" wrapText="1"/>
      <protection hidden="1"/>
    </xf>
    <xf numFmtId="0" fontId="54" fillId="0" borderId="0" xfId="0" applyFont="1" applyAlignment="1" applyProtection="1">
      <alignment wrapText="1"/>
      <protection hidden="1"/>
    </xf>
    <xf numFmtId="0" fontId="51" fillId="0" borderId="0" xfId="0" applyFont="1" applyAlignment="1" applyProtection="1">
      <alignment horizontal="right"/>
      <protection hidden="1"/>
    </xf>
    <xf numFmtId="0" fontId="71" fillId="0" borderId="8"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left" vertical="top" wrapText="1"/>
      <protection hidden="1"/>
    </xf>
    <xf numFmtId="0" fontId="54" fillId="0" borderId="12" xfId="0" applyFont="1" applyBorder="1" applyAlignment="1" applyProtection="1">
      <alignment vertical="center"/>
      <protection hidden="1"/>
    </xf>
    <xf numFmtId="0" fontId="54" fillId="0" borderId="0" xfId="0" applyFont="1" applyBorder="1" applyAlignment="1" applyProtection="1">
      <alignment vertical="center"/>
      <protection hidden="1"/>
    </xf>
    <xf numFmtId="0" fontId="51" fillId="0" borderId="0" xfId="0" applyFont="1" applyFill="1" applyBorder="1" applyAlignment="1" applyProtection="1">
      <alignment vertical="top"/>
      <protection hidden="1"/>
    </xf>
    <xf numFmtId="0" fontId="51" fillId="0" borderId="0" xfId="0" applyFont="1" applyFill="1" applyBorder="1" applyAlignment="1" applyProtection="1">
      <alignment vertical="top" wrapText="1"/>
      <protection hidden="1"/>
    </xf>
    <xf numFmtId="0" fontId="57" fillId="0" borderId="0" xfId="0" applyFont="1" applyFill="1" applyAlignment="1" applyProtection="1">
      <alignment vertical="center" wrapText="1"/>
      <protection hidden="1"/>
    </xf>
    <xf numFmtId="0" fontId="49" fillId="10" borderId="0" xfId="0" applyFont="1" applyFill="1" applyProtection="1">
      <protection hidden="1"/>
    </xf>
    <xf numFmtId="49" fontId="49" fillId="10" borderId="0" xfId="0" applyNumberFormat="1" applyFont="1" applyFill="1" applyAlignment="1" applyProtection="1">
      <alignment horizontal="right" vertical="center"/>
      <protection hidden="1"/>
    </xf>
    <xf numFmtId="0" fontId="49" fillId="10" borderId="0" xfId="0" applyFont="1" applyFill="1" applyAlignment="1" applyProtection="1">
      <alignment horizontal="left" vertical="center"/>
      <protection hidden="1"/>
    </xf>
    <xf numFmtId="0" fontId="49" fillId="5" borderId="0" xfId="0" applyFont="1" applyFill="1" applyProtection="1">
      <protection hidden="1"/>
    </xf>
    <xf numFmtId="0" fontId="49" fillId="0" borderId="0" xfId="0" applyFont="1" applyProtection="1">
      <protection hidden="1"/>
    </xf>
    <xf numFmtId="0" fontId="49" fillId="0" borderId="0" xfId="0" applyFont="1" applyAlignment="1" applyProtection="1">
      <alignment vertical="center"/>
      <protection hidden="1"/>
    </xf>
    <xf numFmtId="0" fontId="57" fillId="0" borderId="0" xfId="0" applyFont="1" applyProtection="1">
      <protection hidden="1"/>
    </xf>
    <xf numFmtId="0" fontId="70" fillId="11" borderId="0" xfId="0" applyFont="1" applyFill="1" applyAlignment="1" applyProtection="1">
      <alignment horizontal="justify" vertical="center"/>
      <protection hidden="1"/>
    </xf>
    <xf numFmtId="0" fontId="70" fillId="11" borderId="0" xfId="0" applyFont="1" applyFill="1" applyProtection="1">
      <protection hidden="1"/>
    </xf>
    <xf numFmtId="0" fontId="14" fillId="0" borderId="0" xfId="0" applyFont="1" applyFill="1" applyAlignment="1" applyProtection="1">
      <alignment horizontal="center" vertical="center"/>
      <protection locked="0" hidden="1"/>
    </xf>
    <xf numFmtId="0" fontId="49" fillId="11" borderId="0" xfId="0" applyFont="1" applyFill="1" applyProtection="1">
      <protection hidden="1"/>
    </xf>
    <xf numFmtId="0" fontId="49" fillId="2" borderId="1" xfId="0" applyFont="1" applyFill="1" applyBorder="1" applyAlignment="1" applyProtection="1">
      <alignment vertical="center"/>
      <protection hidden="1"/>
    </xf>
    <xf numFmtId="0" fontId="49" fillId="0" borderId="0" xfId="0" applyFont="1" applyFill="1" applyAlignment="1" applyProtection="1">
      <alignment vertical="center"/>
      <protection hidden="1"/>
    </xf>
    <xf numFmtId="49" fontId="49" fillId="10" borderId="0" xfId="0" applyNumberFormat="1" applyFont="1" applyFill="1" applyAlignment="1" applyProtection="1">
      <alignment vertical="center"/>
      <protection hidden="1"/>
    </xf>
    <xf numFmtId="0" fontId="49" fillId="11" borderId="0" xfId="0" applyFont="1" applyFill="1" applyAlignment="1" applyProtection="1">
      <alignment vertical="center"/>
      <protection hidden="1"/>
    </xf>
    <xf numFmtId="49" fontId="49" fillId="8" borderId="0" xfId="0" applyNumberFormat="1" applyFont="1" applyFill="1" applyProtection="1">
      <protection hidden="1"/>
    </xf>
    <xf numFmtId="0" fontId="49" fillId="9" borderId="0" xfId="0" applyFont="1" applyFill="1" applyProtection="1">
      <protection hidden="1"/>
    </xf>
    <xf numFmtId="0" fontId="49" fillId="8" borderId="0" xfId="0" applyFont="1" applyFill="1" applyAlignment="1" applyProtection="1">
      <alignment horizontal="right" vertical="center"/>
      <protection hidden="1"/>
    </xf>
    <xf numFmtId="178" fontId="51" fillId="2" borderId="10" xfId="0" applyNumberFormat="1" applyFont="1" applyFill="1" applyBorder="1" applyAlignment="1" applyProtection="1">
      <alignment horizontal="center" vertical="center"/>
      <protection hidden="1"/>
    </xf>
    <xf numFmtId="178" fontId="51" fillId="0" borderId="0" xfId="0" applyNumberFormat="1" applyFont="1" applyFill="1" applyBorder="1" applyAlignment="1" applyProtection="1">
      <alignment horizontal="right" vertical="center"/>
      <protection hidden="1"/>
    </xf>
    <xf numFmtId="178" fontId="51" fillId="0" borderId="0" xfId="0" applyNumberFormat="1" applyFont="1" applyFill="1" applyBorder="1" applyAlignment="1" applyProtection="1">
      <alignment horizontal="center" vertical="center"/>
      <protection hidden="1"/>
    </xf>
    <xf numFmtId="0" fontId="60" fillId="0" borderId="0" xfId="0" applyFont="1" applyFill="1" applyAlignment="1" applyProtection="1">
      <alignment vertical="center" wrapText="1"/>
      <protection hidden="1"/>
    </xf>
    <xf numFmtId="49" fontId="51" fillId="8" borderId="0" xfId="0" applyNumberFormat="1" applyFont="1" applyFill="1" applyAlignment="1" applyProtection="1">
      <alignment vertical="center"/>
      <protection hidden="1"/>
    </xf>
    <xf numFmtId="0" fontId="43" fillId="8" borderId="0" xfId="0" applyFont="1" applyFill="1" applyAlignment="1" applyProtection="1">
      <alignment vertical="center"/>
      <protection hidden="1"/>
    </xf>
    <xf numFmtId="0" fontId="49" fillId="8" borderId="0" xfId="0" applyFont="1" applyFill="1" applyAlignment="1" applyProtection="1">
      <alignment vertical="center"/>
      <protection hidden="1"/>
    </xf>
    <xf numFmtId="0" fontId="55" fillId="8" borderId="0" xfId="3" applyFont="1" applyFill="1" applyAlignment="1" applyProtection="1">
      <alignment horizontal="left" vertical="center"/>
      <protection hidden="1"/>
    </xf>
    <xf numFmtId="0" fontId="43" fillId="0" borderId="0" xfId="0" applyFont="1" applyFill="1" applyAlignment="1" applyProtection="1">
      <alignment vertical="center"/>
      <protection hidden="1"/>
    </xf>
    <xf numFmtId="0" fontId="46" fillId="0" borderId="0" xfId="3" applyFont="1" applyFill="1" applyAlignment="1" applyProtection="1">
      <alignment horizontal="left" vertical="center"/>
      <protection hidden="1"/>
    </xf>
    <xf numFmtId="0" fontId="43" fillId="0" borderId="0" xfId="0" applyFont="1" applyFill="1" applyAlignment="1" applyProtection="1">
      <alignment horizontal="center" vertical="center"/>
      <protection hidden="1"/>
    </xf>
    <xf numFmtId="0" fontId="69" fillId="4" borderId="0" xfId="0" applyFont="1" applyFill="1" applyAlignment="1" applyProtection="1">
      <protection hidden="1"/>
    </xf>
    <xf numFmtId="0" fontId="64" fillId="0" borderId="12" xfId="0" applyFont="1" applyFill="1" applyBorder="1" applyAlignment="1" applyProtection="1">
      <protection hidden="1"/>
    </xf>
    <xf numFmtId="0" fontId="58" fillId="0" borderId="12" xfId="0" applyFont="1" applyFill="1" applyBorder="1" applyProtection="1">
      <protection hidden="1"/>
    </xf>
    <xf numFmtId="0" fontId="58" fillId="0" borderId="12" xfId="0" applyFont="1" applyFill="1" applyBorder="1" applyAlignment="1" applyProtection="1">
      <protection hidden="1"/>
    </xf>
    <xf numFmtId="0" fontId="20" fillId="0" borderId="0" xfId="0" applyFont="1" applyBorder="1" applyAlignment="1" applyProtection="1">
      <alignment vertical="top" wrapText="1"/>
      <protection hidden="1"/>
    </xf>
    <xf numFmtId="0" fontId="0" fillId="0" borderId="0" xfId="0" applyBorder="1" applyAlignment="1" applyProtection="1">
      <protection hidden="1"/>
    </xf>
    <xf numFmtId="0" fontId="0" fillId="0" borderId="0" xfId="0" applyBorder="1" applyProtection="1">
      <protection hidden="1"/>
    </xf>
    <xf numFmtId="0" fontId="18" fillId="0" borderId="0" xfId="0" applyFont="1" applyBorder="1" applyAlignment="1" applyProtection="1">
      <alignment vertical="top" wrapText="1"/>
      <protection hidden="1"/>
    </xf>
    <xf numFmtId="0" fontId="53" fillId="0" borderId="0" xfId="0" applyFont="1" applyBorder="1" applyAlignment="1" applyProtection="1">
      <alignment vertical="top" wrapText="1"/>
      <protection hidden="1"/>
    </xf>
    <xf numFmtId="0" fontId="53" fillId="0" borderId="2" xfId="0" applyFont="1" applyBorder="1" applyAlignment="1" applyProtection="1">
      <alignment vertical="top" wrapText="1"/>
      <protection hidden="1"/>
    </xf>
    <xf numFmtId="0" fontId="3" fillId="0" borderId="0" xfId="0"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0" fillId="0" borderId="0" xfId="0" applyFill="1" applyProtection="1">
      <protection hidden="1"/>
    </xf>
    <xf numFmtId="0" fontId="4" fillId="0" borderId="0" xfId="0" applyFont="1" applyBorder="1" applyAlignment="1" applyProtection="1">
      <alignment vertical="center" wrapText="1"/>
      <protection hidden="1"/>
    </xf>
    <xf numFmtId="182" fontId="3" fillId="0" borderId="0" xfId="0" applyNumberFormat="1" applyFont="1" applyBorder="1" applyAlignment="1" applyProtection="1">
      <alignment horizontal="left" vertical="center" wrapText="1"/>
      <protection hidden="1"/>
    </xf>
    <xf numFmtId="0" fontId="17" fillId="0" borderId="0" xfId="0" applyFont="1" applyBorder="1" applyAlignment="1" applyProtection="1">
      <alignment wrapText="1"/>
      <protection hidden="1"/>
    </xf>
    <xf numFmtId="178" fontId="3" fillId="0" borderId="24" xfId="0" applyNumberFormat="1" applyFont="1" applyFill="1" applyBorder="1" applyAlignment="1" applyProtection="1">
      <alignment horizontal="left" vertical="top" wrapText="1"/>
      <protection hidden="1"/>
    </xf>
    <xf numFmtId="0" fontId="26" fillId="0" borderId="0" xfId="0" applyFont="1" applyBorder="1" applyAlignment="1" applyProtection="1">
      <alignment horizontal="left" vertical="top" wrapText="1"/>
      <protection hidden="1"/>
    </xf>
    <xf numFmtId="178" fontId="3" fillId="0" borderId="24" xfId="0" applyNumberFormat="1" applyFont="1" applyFill="1" applyBorder="1" applyAlignment="1" applyProtection="1">
      <alignment vertical="top" wrapText="1"/>
      <protection hidden="1"/>
    </xf>
    <xf numFmtId="178" fontId="13" fillId="0" borderId="27" xfId="0" applyNumberFormat="1" applyFont="1" applyFill="1" applyBorder="1" applyAlignment="1" applyProtection="1">
      <alignment vertical="center" wrapText="1"/>
      <protection hidden="1"/>
    </xf>
    <xf numFmtId="178" fontId="12" fillId="0" borderId="27" xfId="0" applyNumberFormat="1" applyFont="1" applyFill="1" applyBorder="1" applyAlignment="1" applyProtection="1">
      <alignment vertical="center" wrapText="1"/>
      <protection hidden="1"/>
    </xf>
    <xf numFmtId="178" fontId="12" fillId="0" borderId="29" xfId="0" applyNumberFormat="1" applyFont="1" applyFill="1" applyBorder="1" applyAlignment="1" applyProtection="1">
      <alignment vertical="center" wrapText="1"/>
      <protection hidden="1"/>
    </xf>
    <xf numFmtId="178" fontId="12" fillId="0" borderId="10" xfId="0" applyNumberFormat="1" applyFont="1" applyFill="1" applyBorder="1" applyAlignment="1" applyProtection="1">
      <alignment vertical="center" wrapText="1"/>
      <protection hidden="1"/>
    </xf>
    <xf numFmtId="0" fontId="4" fillId="0" borderId="9" xfId="0" applyFont="1" applyFill="1" applyBorder="1" applyAlignment="1" applyProtection="1">
      <alignment vertical="top" wrapText="1"/>
      <protection hidden="1"/>
    </xf>
    <xf numFmtId="178" fontId="3" fillId="0" borderId="6" xfId="0" applyNumberFormat="1" applyFont="1" applyFill="1" applyBorder="1" applyAlignment="1" applyProtection="1">
      <alignment vertical="top" wrapText="1"/>
      <protection hidden="1"/>
    </xf>
    <xf numFmtId="0" fontId="40" fillId="0" borderId="0" xfId="0" applyFont="1" applyFill="1" applyAlignment="1" applyProtection="1">
      <alignment vertical="top"/>
      <protection hidden="1"/>
    </xf>
    <xf numFmtId="178" fontId="13" fillId="0" borderId="6" xfId="0" applyNumberFormat="1" applyFont="1" applyFill="1" applyBorder="1" applyAlignment="1" applyProtection="1">
      <alignment vertical="center" wrapText="1"/>
      <protection hidden="1"/>
    </xf>
    <xf numFmtId="178" fontId="13" fillId="0" borderId="29" xfId="0" applyNumberFormat="1" applyFont="1" applyFill="1" applyBorder="1" applyAlignment="1" applyProtection="1">
      <alignment vertical="center" wrapText="1"/>
      <protection hidden="1"/>
    </xf>
    <xf numFmtId="0" fontId="40" fillId="0" borderId="0" xfId="0" applyFont="1" applyAlignment="1" applyProtection="1">
      <alignment vertical="top"/>
      <protection hidden="1"/>
    </xf>
    <xf numFmtId="0" fontId="40" fillId="0" borderId="8" xfId="0" applyFont="1" applyBorder="1" applyAlignment="1" applyProtection="1">
      <alignment vertical="top"/>
      <protection hidden="1"/>
    </xf>
    <xf numFmtId="0" fontId="12" fillId="0" borderId="14" xfId="0" applyFont="1" applyFill="1" applyBorder="1" applyAlignment="1" applyProtection="1">
      <alignment vertical="center" wrapText="1"/>
      <protection hidden="1"/>
    </xf>
    <xf numFmtId="0" fontId="4" fillId="0" borderId="3" xfId="0" applyFont="1" applyFill="1" applyBorder="1" applyAlignment="1" applyProtection="1">
      <alignment vertical="top" wrapText="1"/>
      <protection hidden="1"/>
    </xf>
    <xf numFmtId="0" fontId="4" fillId="0" borderId="3"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wrapText="1"/>
      <protection hidden="1"/>
    </xf>
    <xf numFmtId="0" fontId="4" fillId="0" borderId="0" xfId="0" applyFont="1" applyFill="1" applyBorder="1" applyAlignment="1" applyProtection="1">
      <alignment vertical="top" wrapText="1"/>
      <protection hidden="1"/>
    </xf>
    <xf numFmtId="0" fontId="4" fillId="0" borderId="2" xfId="0" applyFont="1" applyFill="1" applyBorder="1" applyAlignment="1" applyProtection="1">
      <alignment vertical="top" wrapText="1"/>
      <protection hidden="1"/>
    </xf>
    <xf numFmtId="0" fontId="4" fillId="0" borderId="5" xfId="0" applyFont="1" applyFill="1" applyBorder="1" applyAlignment="1" applyProtection="1">
      <alignment vertical="center" wrapText="1"/>
      <protection hidden="1"/>
    </xf>
    <xf numFmtId="0" fontId="4" fillId="0" borderId="12" xfId="0" applyFont="1" applyFill="1" applyBorder="1" applyAlignment="1" applyProtection="1">
      <alignment vertical="center" wrapText="1"/>
      <protection hidden="1"/>
    </xf>
    <xf numFmtId="0" fontId="4" fillId="0" borderId="12" xfId="0" applyFont="1" applyFill="1" applyBorder="1" applyAlignment="1" applyProtection="1">
      <alignment vertical="top" wrapText="1"/>
      <protection hidden="1"/>
    </xf>
    <xf numFmtId="0" fontId="4" fillId="0" borderId="6" xfId="0" applyFont="1" applyFill="1" applyBorder="1" applyAlignment="1" applyProtection="1">
      <alignment vertical="center" wrapText="1"/>
      <protection hidden="1"/>
    </xf>
    <xf numFmtId="177" fontId="29" fillId="0" borderId="0" xfId="0" applyNumberFormat="1" applyFont="1" applyFill="1" applyBorder="1" applyAlignment="1" applyProtection="1">
      <alignment vertical="center" wrapText="1"/>
      <protection hidden="1"/>
    </xf>
    <xf numFmtId="178" fontId="3" fillId="0" borderId="27" xfId="0" applyNumberFormat="1" applyFont="1" applyFill="1" applyBorder="1" applyAlignment="1" applyProtection="1">
      <alignment horizontal="right" vertical="top" shrinkToFit="1"/>
      <protection hidden="1"/>
    </xf>
    <xf numFmtId="0" fontId="7" fillId="0" borderId="16" xfId="0" applyFont="1" applyFill="1" applyBorder="1" applyAlignment="1" applyProtection="1">
      <alignment horizontal="center" vertical="center" shrinkToFit="1"/>
      <protection hidden="1"/>
    </xf>
    <xf numFmtId="0" fontId="7" fillId="0" borderId="31" xfId="0" applyFont="1" applyFill="1" applyBorder="1" applyAlignment="1" applyProtection="1">
      <alignment horizontal="center" vertical="center" shrinkToFit="1"/>
      <protection hidden="1"/>
    </xf>
    <xf numFmtId="178" fontId="13" fillId="0" borderId="27" xfId="0" applyNumberFormat="1" applyFont="1" applyFill="1" applyBorder="1" applyAlignment="1" applyProtection="1">
      <alignment vertical="center" wrapText="1" shrinkToFit="1"/>
      <protection hidden="1"/>
    </xf>
    <xf numFmtId="0" fontId="6" fillId="0" borderId="0" xfId="0" applyFont="1" applyFill="1" applyBorder="1" applyAlignment="1" applyProtection="1">
      <alignment vertical="top" wrapText="1"/>
      <protection hidden="1"/>
    </xf>
    <xf numFmtId="0" fontId="19" fillId="0" borderId="0" xfId="0" applyFont="1" applyFill="1" applyBorder="1" applyAlignment="1" applyProtection="1">
      <alignment vertical="center" wrapText="1"/>
      <protection hidden="1"/>
    </xf>
    <xf numFmtId="0" fontId="3" fillId="0" borderId="10" xfId="0" applyFont="1" applyFill="1" applyBorder="1" applyAlignment="1" applyProtection="1">
      <alignment horizontal="left" vertical="top" wrapText="1"/>
      <protection hidden="1"/>
    </xf>
    <xf numFmtId="0" fontId="4" fillId="0" borderId="0" xfId="0" applyFont="1" applyFill="1" applyBorder="1" applyAlignment="1" applyProtection="1">
      <alignment vertical="center" shrinkToFit="1"/>
      <protection hidden="1"/>
    </xf>
    <xf numFmtId="0" fontId="5" fillId="0" borderId="10" xfId="0" applyFont="1" applyFill="1" applyBorder="1" applyAlignment="1" applyProtection="1">
      <alignment wrapText="1"/>
      <protection hidden="1"/>
    </xf>
    <xf numFmtId="0" fontId="7" fillId="0" borderId="0" xfId="0" applyFont="1" applyFill="1" applyBorder="1" applyAlignment="1" applyProtection="1">
      <alignment vertical="center" wrapText="1"/>
      <protection hidden="1"/>
    </xf>
    <xf numFmtId="0" fontId="5" fillId="0" borderId="67" xfId="0" applyFont="1" applyFill="1" applyBorder="1" applyAlignment="1" applyProtection="1">
      <alignment wrapText="1"/>
      <protection hidden="1"/>
    </xf>
    <xf numFmtId="0" fontId="3" fillId="0" borderId="0" xfId="0" applyFont="1" applyFill="1" applyBorder="1" applyAlignment="1" applyProtection="1">
      <alignment vertical="center" wrapText="1"/>
      <protection hidden="1"/>
    </xf>
    <xf numFmtId="0" fontId="5" fillId="0" borderId="27" xfId="0" applyFont="1" applyFill="1" applyBorder="1" applyAlignment="1" applyProtection="1">
      <alignment wrapText="1"/>
      <protection hidden="1"/>
    </xf>
    <xf numFmtId="0" fontId="5" fillId="0" borderId="29" xfId="0" applyFont="1" applyFill="1" applyBorder="1" applyAlignment="1" applyProtection="1">
      <alignment wrapText="1"/>
      <protection hidden="1"/>
    </xf>
    <xf numFmtId="0" fontId="34" fillId="0" borderId="0" xfId="0" applyFont="1" applyFill="1" applyAlignment="1" applyProtection="1">
      <alignment vertical="center"/>
      <protection hidden="1"/>
    </xf>
    <xf numFmtId="0" fontId="9" fillId="0" borderId="0" xfId="0" applyFont="1" applyFill="1" applyBorder="1" applyAlignment="1" applyProtection="1">
      <alignment vertical="center" wrapText="1"/>
      <protection hidden="1"/>
    </xf>
    <xf numFmtId="0" fontId="6" fillId="0" borderId="0" xfId="0" applyFont="1" applyFill="1" applyBorder="1" applyAlignment="1" applyProtection="1">
      <alignment wrapText="1"/>
      <protection hidden="1"/>
    </xf>
    <xf numFmtId="176" fontId="31" fillId="0" borderId="15" xfId="0" applyNumberFormat="1" applyFont="1" applyFill="1" applyBorder="1" applyAlignment="1" applyProtection="1">
      <alignment vertical="top" wrapText="1"/>
      <protection hidden="1"/>
    </xf>
    <xf numFmtId="176" fontId="31" fillId="0" borderId="14" xfId="0" applyNumberFormat="1" applyFont="1" applyFill="1" applyBorder="1" applyAlignment="1" applyProtection="1">
      <alignment vertical="top" wrapText="1"/>
      <protection hidden="1"/>
    </xf>
    <xf numFmtId="0" fontId="0" fillId="0" borderId="14" xfId="0" applyFill="1" applyBorder="1" applyProtection="1">
      <protection hidden="1"/>
    </xf>
    <xf numFmtId="176" fontId="31" fillId="0" borderId="0" xfId="0" applyNumberFormat="1" applyFont="1" applyFill="1" applyBorder="1" applyAlignment="1" applyProtection="1">
      <alignment vertical="top" wrapText="1"/>
      <protection hidden="1"/>
    </xf>
    <xf numFmtId="0" fontId="8" fillId="0" borderId="31" xfId="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178" fontId="3" fillId="0" borderId="28" xfId="0" applyNumberFormat="1" applyFont="1" applyFill="1" applyBorder="1" applyAlignment="1" applyProtection="1">
      <alignment vertical="center" wrapText="1"/>
      <protection hidden="1"/>
    </xf>
    <xf numFmtId="178" fontId="3" fillId="0" borderId="29" xfId="0" applyNumberFormat="1" applyFont="1" applyFill="1" applyBorder="1" applyAlignment="1" applyProtection="1">
      <alignment vertical="center" wrapText="1"/>
      <protection hidden="1"/>
    </xf>
    <xf numFmtId="0" fontId="8" fillId="0" borderId="18"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50" xfId="0" applyFont="1" applyFill="1" applyBorder="1" applyAlignment="1" applyProtection="1">
      <alignment horizontal="center" vertical="center" wrapText="1"/>
      <protection hidden="1"/>
    </xf>
    <xf numFmtId="0" fontId="27" fillId="0" borderId="0" xfId="0" applyFont="1" applyBorder="1" applyAlignment="1" applyProtection="1">
      <alignment vertical="top" wrapText="1"/>
      <protection hidden="1"/>
    </xf>
    <xf numFmtId="0" fontId="52" fillId="0" borderId="0" xfId="0" applyFont="1" applyProtection="1">
      <protection hidden="1"/>
    </xf>
    <xf numFmtId="0" fontId="8" fillId="0" borderId="0" xfId="0" applyFont="1" applyBorder="1" applyAlignment="1" applyProtection="1">
      <alignment wrapText="1"/>
      <protection hidden="1"/>
    </xf>
    <xf numFmtId="0" fontId="6" fillId="0" borderId="0" xfId="0" applyFont="1" applyProtection="1">
      <protection hidden="1"/>
    </xf>
    <xf numFmtId="0" fontId="6" fillId="0" borderId="11" xfId="0" applyFont="1" applyFill="1" applyBorder="1" applyAlignment="1" applyProtection="1">
      <alignment vertical="center" wrapText="1"/>
      <protection hidden="1"/>
    </xf>
    <xf numFmtId="0" fontId="6" fillId="0" borderId="15" xfId="0" applyFont="1" applyFill="1" applyBorder="1" applyAlignment="1" applyProtection="1">
      <alignment vertical="center" wrapText="1"/>
      <protection hidden="1"/>
    </xf>
    <xf numFmtId="0" fontId="6" fillId="0" borderId="10" xfId="0" applyFont="1" applyFill="1" applyBorder="1" applyAlignment="1" applyProtection="1">
      <alignment horizontal="right" vertical="top" shrinkToFit="1"/>
      <protection hidden="1"/>
    </xf>
    <xf numFmtId="0" fontId="6" fillId="0" borderId="11" xfId="0" applyFont="1" applyFill="1" applyBorder="1" applyAlignment="1" applyProtection="1">
      <alignment vertical="top" wrapText="1"/>
      <protection hidden="1"/>
    </xf>
    <xf numFmtId="0" fontId="6" fillId="0" borderId="15" xfId="0" applyFont="1" applyFill="1" applyBorder="1" applyAlignment="1" applyProtection="1">
      <alignment vertical="top" wrapText="1"/>
      <protection hidden="1"/>
    </xf>
    <xf numFmtId="0" fontId="6" fillId="0" borderId="10" xfId="0" applyFont="1" applyFill="1" applyBorder="1" applyAlignment="1" applyProtection="1">
      <alignment horizontal="right" vertical="top" wrapText="1"/>
      <protection hidden="1"/>
    </xf>
    <xf numFmtId="0" fontId="6" fillId="0" borderId="11" xfId="0" applyFont="1" applyFill="1" applyBorder="1" applyAlignment="1" applyProtection="1">
      <alignment wrapText="1"/>
      <protection hidden="1"/>
    </xf>
    <xf numFmtId="0" fontId="6" fillId="0" borderId="15" xfId="0" applyFont="1" applyFill="1" applyBorder="1" applyAlignment="1" applyProtection="1">
      <alignment wrapText="1"/>
      <protection hidden="1"/>
    </xf>
    <xf numFmtId="0" fontId="0" fillId="0" borderId="15" xfId="0" applyFill="1" applyBorder="1" applyProtection="1">
      <protection hidden="1"/>
    </xf>
    <xf numFmtId="0" fontId="6" fillId="0" borderId="10" xfId="0" applyFont="1" applyFill="1" applyBorder="1" applyAlignment="1" applyProtection="1">
      <alignment vertical="center" wrapText="1"/>
      <protection hidden="1"/>
    </xf>
    <xf numFmtId="0" fontId="6" fillId="0" borderId="10" xfId="0" applyFont="1" applyFill="1" applyBorder="1" applyAlignment="1" applyProtection="1">
      <alignment vertical="top" wrapText="1"/>
      <protection hidden="1"/>
    </xf>
    <xf numFmtId="0" fontId="6" fillId="0" borderId="10" xfId="0" applyFont="1" applyFill="1" applyBorder="1" applyAlignment="1" applyProtection="1">
      <alignment horizontal="right" wrapText="1"/>
      <protection hidden="1"/>
    </xf>
    <xf numFmtId="0" fontId="6" fillId="0" borderId="15" xfId="0" applyFont="1" applyFill="1" applyBorder="1" applyAlignment="1" applyProtection="1">
      <alignment horizontal="right" wrapText="1"/>
      <protection hidden="1"/>
    </xf>
    <xf numFmtId="0" fontId="0" fillId="0" borderId="10" xfId="0" applyFill="1" applyBorder="1" applyProtection="1">
      <protection hidden="1"/>
    </xf>
    <xf numFmtId="0" fontId="34" fillId="0" borderId="10" xfId="0" applyFont="1" applyFill="1" applyBorder="1" applyAlignment="1" applyProtection="1">
      <protection hidden="1"/>
    </xf>
    <xf numFmtId="0" fontId="6" fillId="0" borderId="1" xfId="0" applyFont="1" applyFill="1" applyBorder="1" applyAlignment="1" applyProtection="1">
      <alignment horizontal="center" vertical="center" wrapText="1"/>
      <protection hidden="1"/>
    </xf>
    <xf numFmtId="0" fontId="6" fillId="0" borderId="15" xfId="0" applyFont="1" applyBorder="1" applyAlignment="1" applyProtection="1">
      <alignment wrapText="1"/>
      <protection hidden="1"/>
    </xf>
    <xf numFmtId="0" fontId="6" fillId="0" borderId="15" xfId="0" applyFont="1" applyBorder="1" applyAlignment="1" applyProtection="1">
      <alignment horizontal="right" vertical="top" wrapText="1"/>
      <protection hidden="1"/>
    </xf>
    <xf numFmtId="0" fontId="6" fillId="0" borderId="11" xfId="0" applyFont="1" applyBorder="1" applyAlignment="1" applyProtection="1">
      <alignment vertical="top" wrapText="1"/>
      <protection hidden="1"/>
    </xf>
    <xf numFmtId="0" fontId="6" fillId="0" borderId="15" xfId="0" applyFont="1" applyBorder="1" applyAlignment="1" applyProtection="1">
      <alignment vertical="top" wrapText="1"/>
      <protection hidden="1"/>
    </xf>
    <xf numFmtId="178" fontId="6" fillId="0" borderId="10" xfId="0" applyNumberFormat="1" applyFont="1" applyBorder="1" applyAlignment="1" applyProtection="1">
      <alignment horizontal="right" vertical="top" wrapText="1"/>
      <protection hidden="1"/>
    </xf>
    <xf numFmtId="0" fontId="6" fillId="0" borderId="0" xfId="0" applyFont="1" applyBorder="1" applyAlignment="1" applyProtection="1">
      <alignment horizontal="left" vertical="top" wrapText="1"/>
      <protection hidden="1"/>
    </xf>
    <xf numFmtId="0" fontId="6" fillId="0" borderId="15" xfId="0" applyFont="1" applyBorder="1" applyAlignment="1" applyProtection="1">
      <alignment horizontal="right" wrapText="1"/>
      <protection hidden="1"/>
    </xf>
    <xf numFmtId="0" fontId="6" fillId="0" borderId="11" xfId="0" applyFont="1" applyBorder="1" applyAlignment="1" applyProtection="1">
      <alignment horizontal="right" wrapText="1"/>
      <protection hidden="1"/>
    </xf>
    <xf numFmtId="0" fontId="6" fillId="0" borderId="10" xfId="0" applyFont="1" applyBorder="1" applyAlignment="1" applyProtection="1">
      <alignment horizontal="right" wrapText="1"/>
      <protection hidden="1"/>
    </xf>
    <xf numFmtId="0" fontId="0" fillId="0" borderId="11" xfId="0" applyFill="1" applyBorder="1" applyAlignment="1" applyProtection="1">
      <protection hidden="1"/>
    </xf>
    <xf numFmtId="0" fontId="0" fillId="0" borderId="15" xfId="0" applyFill="1" applyBorder="1" applyAlignment="1" applyProtection="1">
      <protection hidden="1"/>
    </xf>
    <xf numFmtId="0" fontId="0" fillId="0" borderId="10" xfId="0" applyFill="1" applyBorder="1" applyAlignment="1" applyProtection="1">
      <protection hidden="1"/>
    </xf>
    <xf numFmtId="176" fontId="6" fillId="0" borderId="11" xfId="0" applyNumberFormat="1" applyFont="1" applyFill="1" applyBorder="1" applyAlignment="1" applyProtection="1">
      <alignment vertical="center" shrinkToFit="1"/>
      <protection hidden="1"/>
    </xf>
    <xf numFmtId="0" fontId="6" fillId="0" borderId="10" xfId="0" applyFont="1" applyFill="1" applyBorder="1" applyAlignment="1" applyProtection="1">
      <alignment wrapText="1"/>
      <protection hidden="1"/>
    </xf>
    <xf numFmtId="0" fontId="6" fillId="0" borderId="0" xfId="0" applyFont="1" applyFill="1" applyBorder="1" applyAlignment="1" applyProtection="1">
      <alignment vertical="center" wrapText="1"/>
      <protection hidden="1"/>
    </xf>
    <xf numFmtId="0" fontId="6" fillId="0" borderId="11" xfId="0" applyFont="1" applyBorder="1" applyAlignment="1" applyProtection="1">
      <alignment wrapText="1"/>
      <protection hidden="1"/>
    </xf>
    <xf numFmtId="176" fontId="6" fillId="0" borderId="11" xfId="0" applyNumberFormat="1" applyFont="1" applyFill="1" applyBorder="1" applyAlignment="1" applyProtection="1">
      <alignment vertical="center" wrapText="1"/>
      <protection hidden="1"/>
    </xf>
    <xf numFmtId="176" fontId="6" fillId="0" borderId="15" xfId="0" applyNumberFormat="1" applyFont="1" applyFill="1" applyBorder="1" applyAlignment="1" applyProtection="1">
      <alignment vertical="center" wrapText="1"/>
      <protection hidden="1"/>
    </xf>
    <xf numFmtId="176" fontId="6" fillId="0" borderId="14" xfId="0" applyNumberFormat="1" applyFont="1" applyFill="1" applyBorder="1" applyAlignment="1" applyProtection="1">
      <alignment horizontal="center" vertical="center" shrinkToFit="1"/>
      <protection hidden="1"/>
    </xf>
    <xf numFmtId="0" fontId="6" fillId="0" borderId="14" xfId="0" applyFont="1" applyFill="1" applyBorder="1" applyAlignment="1" applyProtection="1">
      <alignment horizontal="center" wrapText="1"/>
      <protection hidden="1"/>
    </xf>
    <xf numFmtId="0" fontId="6" fillId="0" borderId="14" xfId="0" applyFont="1" applyFill="1" applyBorder="1" applyAlignment="1" applyProtection="1">
      <alignment horizontal="left" vertical="top" wrapText="1"/>
      <protection hidden="1"/>
    </xf>
    <xf numFmtId="0" fontId="6" fillId="0" borderId="14" xfId="0" applyFont="1" applyFill="1" applyBorder="1" applyAlignment="1" applyProtection="1">
      <alignment horizontal="right" wrapText="1"/>
      <protection hidden="1"/>
    </xf>
    <xf numFmtId="178" fontId="6" fillId="0" borderId="14" xfId="0" applyNumberFormat="1" applyFont="1" applyFill="1" applyBorder="1" applyAlignment="1" applyProtection="1">
      <alignment horizontal="center" vertical="center" wrapText="1"/>
      <protection hidden="1"/>
    </xf>
    <xf numFmtId="178" fontId="6" fillId="0" borderId="0" xfId="0" applyNumberFormat="1" applyFont="1" applyFill="1" applyBorder="1" applyAlignment="1" applyProtection="1">
      <alignment horizontal="center" vertical="center" wrapText="1"/>
      <protection hidden="1"/>
    </xf>
    <xf numFmtId="178" fontId="6" fillId="0" borderId="0" xfId="0" applyNumberFormat="1" applyFont="1" applyFill="1" applyBorder="1" applyAlignment="1" applyProtection="1">
      <alignment horizontal="right" vertical="center" wrapText="1"/>
      <protection hidden="1"/>
    </xf>
    <xf numFmtId="0" fontId="6" fillId="0" borderId="0" xfId="0" applyFont="1" applyFill="1" applyProtection="1">
      <protection hidden="1"/>
    </xf>
    <xf numFmtId="176" fontId="6" fillId="0" borderId="0" xfId="0" applyNumberFormat="1"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wrapText="1"/>
      <protection hidden="1"/>
    </xf>
    <xf numFmtId="0" fontId="34" fillId="0" borderId="0" xfId="0" applyFont="1" applyFill="1" applyProtection="1">
      <protection hidden="1"/>
    </xf>
    <xf numFmtId="0" fontId="8" fillId="0" borderId="0" xfId="0" applyFont="1" applyFill="1" applyBorder="1" applyAlignment="1" applyProtection="1">
      <alignment vertical="center" wrapText="1"/>
      <protection hidden="1"/>
    </xf>
    <xf numFmtId="0" fontId="6" fillId="0" borderId="9" xfId="0" applyFont="1" applyFill="1" applyBorder="1" applyAlignment="1" applyProtection="1">
      <alignment horizontal="right" vertical="top" wrapText="1"/>
      <protection hidden="1"/>
    </xf>
    <xf numFmtId="0" fontId="13" fillId="0" borderId="67" xfId="0" applyFont="1" applyFill="1" applyBorder="1" applyAlignment="1" applyProtection="1">
      <alignment wrapText="1"/>
      <protection hidden="1"/>
    </xf>
    <xf numFmtId="0" fontId="6" fillId="0" borderId="28" xfId="0" applyFont="1" applyFill="1" applyBorder="1" applyAlignment="1" applyProtection="1">
      <alignment vertical="center" wrapText="1"/>
      <protection hidden="1"/>
    </xf>
    <xf numFmtId="0" fontId="6" fillId="0" borderId="29" xfId="0" applyFont="1" applyFill="1" applyBorder="1" applyAlignment="1" applyProtection="1">
      <alignment horizontal="right" vertical="center" wrapText="1"/>
      <protection hidden="1"/>
    </xf>
    <xf numFmtId="0" fontId="13" fillId="0" borderId="9" xfId="0"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13" fillId="0" borderId="22" xfId="0" applyFont="1" applyFill="1" applyBorder="1" applyAlignment="1" applyProtection="1">
      <alignment vertical="center" wrapText="1"/>
      <protection hidden="1"/>
    </xf>
    <xf numFmtId="0" fontId="13" fillId="0" borderId="28" xfId="0" applyFont="1" applyFill="1" applyBorder="1" applyAlignment="1" applyProtection="1">
      <alignment vertical="center" wrapText="1"/>
      <protection hidden="1"/>
    </xf>
    <xf numFmtId="0" fontId="6" fillId="0" borderId="24" xfId="0" applyFont="1" applyFill="1" applyBorder="1" applyAlignment="1" applyProtection="1">
      <alignment horizontal="right" vertical="top" wrapText="1"/>
      <protection hidden="1"/>
    </xf>
    <xf numFmtId="0" fontId="6" fillId="0" borderId="27" xfId="0" applyFont="1" applyFill="1" applyBorder="1" applyAlignment="1" applyProtection="1">
      <alignment horizontal="right" vertical="top" wrapText="1"/>
      <protection hidden="1"/>
    </xf>
    <xf numFmtId="0" fontId="32" fillId="0" borderId="0" xfId="0" applyFont="1" applyBorder="1" applyAlignment="1" applyProtection="1">
      <alignment wrapText="1"/>
      <protection hidden="1"/>
    </xf>
    <xf numFmtId="0" fontId="0" fillId="0" borderId="0" xfId="0" applyAlignment="1" applyProtection="1">
      <alignment vertical="center"/>
      <protection hidden="1"/>
    </xf>
    <xf numFmtId="0" fontId="16" fillId="0" borderId="0" xfId="0" applyFont="1" applyBorder="1" applyAlignment="1" applyProtection="1">
      <alignment vertical="center" wrapText="1"/>
      <protection hidden="1"/>
    </xf>
    <xf numFmtId="0" fontId="6" fillId="0" borderId="24" xfId="0" applyFont="1" applyBorder="1" applyAlignment="1" applyProtection="1">
      <alignment horizontal="right" vertical="top" shrinkToFit="1"/>
      <protection hidden="1"/>
    </xf>
    <xf numFmtId="0" fontId="6" fillId="0" borderId="23" xfId="0" applyFont="1" applyBorder="1" applyAlignment="1" applyProtection="1">
      <alignment horizontal="right" vertical="top" wrapText="1"/>
      <protection hidden="1"/>
    </xf>
    <xf numFmtId="0" fontId="6" fillId="0" borderId="24" xfId="0" applyFont="1" applyBorder="1" applyAlignment="1" applyProtection="1">
      <alignment horizontal="right" vertical="top" wrapText="1"/>
      <protection hidden="1"/>
    </xf>
    <xf numFmtId="0" fontId="6" fillId="0" borderId="14" xfId="0" applyFont="1" applyBorder="1" applyAlignment="1" applyProtection="1">
      <alignment horizontal="right" vertical="top" wrapText="1"/>
      <protection hidden="1"/>
    </xf>
    <xf numFmtId="183" fontId="7" fillId="0" borderId="21" xfId="0" applyNumberFormat="1" applyFont="1" applyBorder="1" applyAlignment="1" applyProtection="1">
      <alignment vertical="top" wrapText="1"/>
      <protection hidden="1"/>
    </xf>
    <xf numFmtId="0" fontId="26" fillId="0" borderId="0" xfId="0" applyFont="1" applyBorder="1" applyAlignment="1" applyProtection="1">
      <alignment vertical="top" wrapText="1"/>
      <protection hidden="1"/>
    </xf>
    <xf numFmtId="0" fontId="13" fillId="0" borderId="27" xfId="0" applyFont="1" applyBorder="1" applyAlignment="1" applyProtection="1">
      <alignment wrapText="1"/>
      <protection hidden="1"/>
    </xf>
    <xf numFmtId="0" fontId="13" fillId="0" borderId="26" xfId="0" applyFont="1" applyBorder="1" applyAlignment="1" applyProtection="1">
      <alignment wrapText="1"/>
      <protection hidden="1"/>
    </xf>
    <xf numFmtId="0" fontId="6" fillId="0" borderId="66" xfId="0" applyFont="1" applyBorder="1" applyAlignment="1" applyProtection="1">
      <alignment vertical="top" wrapText="1"/>
      <protection hidden="1"/>
    </xf>
    <xf numFmtId="183" fontId="7" fillId="0" borderId="25" xfId="0" applyNumberFormat="1" applyFont="1" applyBorder="1" applyAlignment="1" applyProtection="1">
      <alignment vertical="top" wrapText="1"/>
      <protection hidden="1"/>
    </xf>
    <xf numFmtId="0" fontId="5" fillId="0" borderId="27" xfId="0" applyFont="1" applyBorder="1" applyAlignment="1" applyProtection="1">
      <alignment wrapText="1"/>
      <protection hidden="1"/>
    </xf>
    <xf numFmtId="0" fontId="5" fillId="0" borderId="0" xfId="0" applyFont="1" applyBorder="1" applyAlignment="1" applyProtection="1">
      <alignment wrapText="1"/>
      <protection hidden="1"/>
    </xf>
    <xf numFmtId="0" fontId="12" fillId="0" borderId="27" xfId="0" applyFont="1" applyBorder="1" applyAlignment="1" applyProtection="1">
      <alignment vertical="center" wrapText="1"/>
      <protection hidden="1"/>
    </xf>
    <xf numFmtId="0" fontId="13" fillId="0" borderId="29" xfId="0" applyFont="1" applyBorder="1" applyAlignment="1" applyProtection="1">
      <alignment wrapText="1"/>
      <protection hidden="1"/>
    </xf>
    <xf numFmtId="0" fontId="13" fillId="0" borderId="28" xfId="0" applyFont="1" applyBorder="1" applyAlignment="1" applyProtection="1">
      <alignment wrapText="1"/>
      <protection hidden="1"/>
    </xf>
    <xf numFmtId="183" fontId="7" fillId="0" borderId="22" xfId="0" applyNumberFormat="1" applyFont="1" applyBorder="1" applyAlignment="1" applyProtection="1">
      <alignment vertical="top" wrapText="1"/>
      <protection hidden="1"/>
    </xf>
    <xf numFmtId="0" fontId="5" fillId="0" borderId="29" xfId="0" applyFont="1" applyBorder="1" applyAlignment="1" applyProtection="1">
      <alignment wrapText="1"/>
      <protection hidden="1"/>
    </xf>
    <xf numFmtId="0" fontId="5" fillId="0" borderId="10" xfId="0" applyFont="1" applyBorder="1" applyAlignment="1" applyProtection="1">
      <alignment wrapText="1"/>
      <protection hidden="1"/>
    </xf>
    <xf numFmtId="184" fontId="12" fillId="0" borderId="28" xfId="0" applyNumberFormat="1" applyFont="1" applyBorder="1" applyAlignment="1" applyProtection="1">
      <alignment vertical="center" wrapText="1"/>
      <protection hidden="1"/>
    </xf>
    <xf numFmtId="0" fontId="12" fillId="0" borderId="29" xfId="0" applyFont="1" applyBorder="1" applyAlignment="1" applyProtection="1">
      <alignment vertical="center" wrapText="1"/>
      <protection hidden="1"/>
    </xf>
    <xf numFmtId="0" fontId="35" fillId="0" borderId="0" xfId="0" applyFont="1" applyBorder="1" applyAlignment="1" applyProtection="1">
      <alignment vertical="top" wrapText="1"/>
      <protection hidden="1"/>
    </xf>
    <xf numFmtId="0" fontId="6" fillId="0" borderId="0" xfId="0" applyFont="1" applyBorder="1" applyAlignment="1" applyProtection="1">
      <alignment vertical="center" shrinkToFit="1"/>
      <protection hidden="1"/>
    </xf>
    <xf numFmtId="178" fontId="3" fillId="0" borderId="0" xfId="0" applyNumberFormat="1" applyFont="1" applyBorder="1" applyAlignment="1" applyProtection="1">
      <alignment vertical="center" shrinkToFit="1"/>
      <protection hidden="1"/>
    </xf>
    <xf numFmtId="178" fontId="6" fillId="0" borderId="23" xfId="0" applyNumberFormat="1" applyFont="1" applyBorder="1" applyAlignment="1" applyProtection="1">
      <alignment horizontal="right" vertical="top" shrinkToFit="1"/>
      <protection hidden="1"/>
    </xf>
    <xf numFmtId="178" fontId="6" fillId="0" borderId="24" xfId="0" applyNumberFormat="1" applyFont="1" applyBorder="1" applyAlignment="1" applyProtection="1">
      <alignment horizontal="right" vertical="top" shrinkToFit="1"/>
      <protection hidden="1"/>
    </xf>
    <xf numFmtId="0" fontId="3" fillId="0" borderId="26" xfId="0" applyFont="1" applyBorder="1" applyAlignment="1" applyProtection="1">
      <alignment vertical="center" wrapText="1"/>
      <protection hidden="1"/>
    </xf>
    <xf numFmtId="0" fontId="3" fillId="0" borderId="27" xfId="0" applyFont="1" applyBorder="1" applyAlignment="1" applyProtection="1">
      <alignment vertical="center" wrapText="1"/>
      <protection hidden="1"/>
    </xf>
    <xf numFmtId="0" fontId="11" fillId="0" borderId="0" xfId="0" applyFont="1" applyBorder="1" applyAlignment="1" applyProtection="1">
      <alignment horizontal="left" vertical="center" wrapText="1"/>
      <protection hidden="1"/>
    </xf>
    <xf numFmtId="0" fontId="30" fillId="0" borderId="10" xfId="0" applyFont="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6" fillId="0" borderId="0" xfId="0" applyFont="1" applyBorder="1" applyAlignment="1" applyProtection="1">
      <alignment vertical="center" wrapText="1"/>
      <protection hidden="1"/>
    </xf>
    <xf numFmtId="176" fontId="4" fillId="0" borderId="0" xfId="0" applyNumberFormat="1"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182" fontId="3" fillId="0" borderId="14" xfId="0" applyNumberFormat="1"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180" fontId="3" fillId="0" borderId="0" xfId="0" applyNumberFormat="1"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6" fillId="0" borderId="0" xfId="0" applyFont="1" applyBorder="1" applyAlignment="1" applyProtection="1">
      <alignment vertical="center" wrapText="1"/>
      <protection hidden="1"/>
    </xf>
    <xf numFmtId="0" fontId="8" fillId="0" borderId="0" xfId="0" applyFont="1" applyBorder="1" applyAlignment="1" applyProtection="1">
      <alignment vertical="center" wrapText="1"/>
      <protection hidden="1"/>
    </xf>
    <xf numFmtId="0" fontId="3" fillId="0" borderId="0" xfId="0" applyFont="1" applyBorder="1" applyAlignment="1" applyProtection="1">
      <alignment vertical="center" shrinkToFit="1"/>
      <protection hidden="1"/>
    </xf>
    <xf numFmtId="0" fontId="6" fillId="0" borderId="60" xfId="0" applyFont="1" applyBorder="1" applyAlignment="1" applyProtection="1">
      <protection hidden="1"/>
    </xf>
    <xf numFmtId="0" fontId="6" fillId="0" borderId="61" xfId="0" applyFont="1" applyBorder="1" applyAlignment="1" applyProtection="1">
      <protection hidden="1"/>
    </xf>
    <xf numFmtId="0" fontId="3" fillId="0" borderId="3" xfId="0" applyNumberFormat="1" applyFont="1" applyBorder="1" applyAlignment="1" applyProtection="1">
      <alignment vertical="top" shrinkToFit="1"/>
      <protection hidden="1"/>
    </xf>
    <xf numFmtId="0" fontId="3" fillId="0" borderId="0" xfId="0" applyNumberFormat="1" applyFont="1" applyBorder="1" applyAlignment="1" applyProtection="1">
      <alignment vertical="top" shrinkToFit="1"/>
      <protection hidden="1"/>
    </xf>
    <xf numFmtId="0" fontId="6" fillId="0" borderId="3" xfId="0" applyFont="1" applyBorder="1" applyAlignment="1" applyProtection="1">
      <protection hidden="1"/>
    </xf>
    <xf numFmtId="0" fontId="6" fillId="0" borderId="62" xfId="0" applyFont="1" applyBorder="1" applyAlignment="1" applyProtection="1">
      <protection hidden="1"/>
    </xf>
    <xf numFmtId="0" fontId="3" fillId="0" borderId="5" xfId="0" applyNumberFormat="1" applyFont="1" applyBorder="1" applyAlignment="1" applyProtection="1">
      <alignment vertical="top" shrinkToFit="1"/>
      <protection hidden="1"/>
    </xf>
    <xf numFmtId="0" fontId="3" fillId="0" borderId="12" xfId="0" applyNumberFormat="1" applyFont="1" applyBorder="1" applyAlignment="1" applyProtection="1">
      <alignment vertical="top" shrinkToFit="1"/>
      <protection hidden="1"/>
    </xf>
    <xf numFmtId="0" fontId="3" fillId="0" borderId="0" xfId="0" applyNumberFormat="1" applyFont="1" applyBorder="1" applyAlignment="1" applyProtection="1">
      <alignment vertical="center" shrinkToFit="1"/>
      <protection hidden="1"/>
    </xf>
    <xf numFmtId="0" fontId="6" fillId="0" borderId="5" xfId="0" applyFont="1" applyBorder="1" applyAlignment="1" applyProtection="1">
      <protection hidden="1"/>
    </xf>
    <xf numFmtId="0" fontId="6" fillId="0" borderId="20" xfId="0" applyFont="1" applyBorder="1" applyAlignment="1" applyProtection="1">
      <protection hidden="1"/>
    </xf>
    <xf numFmtId="49" fontId="3" fillId="0" borderId="5" xfId="0" applyNumberFormat="1" applyFont="1" applyBorder="1" applyAlignment="1" applyProtection="1">
      <alignment vertical="top" shrinkToFit="1"/>
      <protection hidden="1"/>
    </xf>
    <xf numFmtId="49" fontId="3" fillId="0" borderId="12" xfId="0" applyNumberFormat="1" applyFont="1" applyBorder="1" applyAlignment="1" applyProtection="1">
      <alignment vertical="top" shrinkToFit="1"/>
      <protection hidden="1"/>
    </xf>
    <xf numFmtId="0" fontId="34" fillId="0" borderId="0" xfId="0" applyFont="1" applyProtection="1">
      <protection hidden="1"/>
    </xf>
    <xf numFmtId="0" fontId="51" fillId="0" borderId="0" xfId="0" applyFont="1" applyAlignment="1" applyProtection="1">
      <alignment horizontal="left" wrapText="1"/>
      <protection hidden="1"/>
    </xf>
    <xf numFmtId="0" fontId="63" fillId="0" borderId="0" xfId="0" applyFont="1" applyAlignment="1" applyProtection="1">
      <alignment vertical="top" wrapText="1"/>
      <protection hidden="1"/>
    </xf>
    <xf numFmtId="0" fontId="50" fillId="0" borderId="0" xfId="0" applyFont="1" applyProtection="1">
      <protection hidden="1"/>
    </xf>
    <xf numFmtId="0" fontId="50" fillId="0" borderId="8" xfId="0" applyFont="1" applyBorder="1" applyAlignment="1" applyProtection="1">
      <alignment horizontal="center" vertical="top" wrapText="1"/>
      <protection hidden="1"/>
    </xf>
    <xf numFmtId="0" fontId="50" fillId="0" borderId="3" xfId="0" applyFont="1" applyBorder="1" applyAlignment="1" applyProtection="1">
      <alignment vertical="top" wrapText="1"/>
      <protection hidden="1"/>
    </xf>
    <xf numFmtId="0" fontId="50" fillId="0" borderId="5" xfId="0" applyFont="1" applyBorder="1" applyAlignment="1" applyProtection="1">
      <alignment vertical="top" wrapText="1"/>
      <protection hidden="1"/>
    </xf>
    <xf numFmtId="0" fontId="50" fillId="0" borderId="0" xfId="0" applyFont="1" applyBorder="1" applyAlignment="1" applyProtection="1">
      <alignment horizontal="center" wrapText="1"/>
      <protection hidden="1"/>
    </xf>
    <xf numFmtId="0" fontId="72" fillId="0" borderId="77" xfId="0" applyFont="1" applyBorder="1" applyAlignment="1" applyProtection="1">
      <alignment vertical="top"/>
      <protection hidden="1"/>
    </xf>
    <xf numFmtId="0" fontId="72" fillId="0" borderId="0" xfId="0" applyFont="1" applyBorder="1" applyAlignment="1" applyProtection="1">
      <alignment vertical="top"/>
      <protection hidden="1"/>
    </xf>
    <xf numFmtId="0" fontId="50" fillId="0" borderId="0" xfId="0" applyFont="1" applyBorder="1" applyAlignment="1" applyProtection="1">
      <alignment vertical="top" wrapText="1"/>
      <protection hidden="1"/>
    </xf>
    <xf numFmtId="49" fontId="51" fillId="6" borderId="1" xfId="0" applyNumberFormat="1" applyFont="1" applyFill="1" applyBorder="1" applyAlignment="1" applyProtection="1">
      <alignment horizontal="center" vertical="center" shrinkToFit="1"/>
      <protection locked="0"/>
    </xf>
    <xf numFmtId="0" fontId="51" fillId="6" borderId="1" xfId="0" applyFont="1" applyFill="1" applyBorder="1" applyAlignment="1" applyProtection="1">
      <alignment horizontal="center" vertical="center" wrapText="1"/>
      <protection locked="0"/>
    </xf>
    <xf numFmtId="49" fontId="34" fillId="6" borderId="1" xfId="0" applyNumberFormat="1" applyFont="1" applyFill="1" applyBorder="1" applyAlignment="1" applyProtection="1">
      <alignment horizontal="center" vertical="center" shrinkToFit="1"/>
      <protection locked="0"/>
    </xf>
    <xf numFmtId="0" fontId="34" fillId="6" borderId="1" xfId="0" applyFont="1" applyFill="1" applyBorder="1" applyAlignment="1" applyProtection="1">
      <alignment horizontal="center" vertical="center"/>
      <protection locked="0"/>
    </xf>
    <xf numFmtId="0" fontId="51" fillId="6" borderId="1" xfId="0" applyFont="1" applyFill="1" applyBorder="1" applyAlignment="1" applyProtection="1">
      <alignment horizontal="center" vertical="center" shrinkToFit="1"/>
      <protection locked="0"/>
    </xf>
    <xf numFmtId="177" fontId="51" fillId="6" borderId="1" xfId="0" applyNumberFormat="1" applyFont="1" applyFill="1" applyBorder="1" applyAlignment="1" applyProtection="1">
      <alignment horizontal="right" vertical="center"/>
      <protection locked="0"/>
    </xf>
    <xf numFmtId="177" fontId="51" fillId="6" borderId="1" xfId="0" applyNumberFormat="1" applyFont="1" applyFill="1" applyBorder="1" applyAlignment="1" applyProtection="1">
      <alignment shrinkToFit="1"/>
      <protection locked="0"/>
    </xf>
    <xf numFmtId="0" fontId="34" fillId="0" borderId="0" xfId="0" applyFont="1" applyFill="1" applyBorder="1" applyAlignment="1" applyProtection="1">
      <alignment horizontal="center" vertical="center"/>
      <protection locked="0"/>
    </xf>
    <xf numFmtId="178" fontId="51" fillId="6" borderId="11" xfId="0" applyNumberFormat="1" applyFont="1" applyFill="1" applyBorder="1" applyAlignment="1" applyProtection="1">
      <alignment vertical="center"/>
      <protection locked="0"/>
    </xf>
    <xf numFmtId="177" fontId="51" fillId="6" borderId="11" xfId="0" applyNumberFormat="1" applyFont="1" applyFill="1" applyBorder="1" applyAlignment="1" applyProtection="1">
      <alignment vertical="center"/>
      <protection locked="0"/>
    </xf>
    <xf numFmtId="177" fontId="51" fillId="6" borderId="1" xfId="0" applyNumberFormat="1" applyFont="1" applyFill="1" applyBorder="1" applyProtection="1">
      <protection locked="0"/>
    </xf>
    <xf numFmtId="0" fontId="51" fillId="6" borderId="10" xfId="0" applyFont="1" applyFill="1" applyBorder="1" applyAlignment="1" applyProtection="1">
      <alignment horizontal="center" vertical="center" wrapText="1"/>
      <protection locked="0"/>
    </xf>
    <xf numFmtId="178" fontId="51" fillId="6" borderId="1" xfId="0" applyNumberFormat="1" applyFont="1" applyFill="1" applyBorder="1" applyAlignment="1" applyProtection="1">
      <alignment horizontal="center" vertical="center" wrapText="1"/>
      <protection locked="0"/>
    </xf>
    <xf numFmtId="0" fontId="51" fillId="6" borderId="1" xfId="0" applyFont="1" applyFill="1" applyBorder="1" applyAlignment="1" applyProtection="1">
      <alignment horizontal="center" vertical="center"/>
      <protection locked="0"/>
    </xf>
    <xf numFmtId="0" fontId="49" fillId="6" borderId="1" xfId="0" applyFont="1" applyFill="1" applyBorder="1" applyAlignment="1" applyProtection="1">
      <alignment vertical="center"/>
      <protection locked="0"/>
    </xf>
    <xf numFmtId="0" fontId="51" fillId="10" borderId="0" xfId="0" applyFont="1" applyFill="1" applyProtection="1"/>
    <xf numFmtId="0" fontId="51" fillId="2" borderId="1" xfId="0" applyFont="1" applyFill="1" applyBorder="1" applyAlignment="1">
      <alignment horizontal="center" vertical="center"/>
    </xf>
    <xf numFmtId="0" fontId="51" fillId="0" borderId="1" xfId="0" applyFont="1" applyBorder="1"/>
    <xf numFmtId="14" fontId="51" fillId="4" borderId="1" xfId="0" applyNumberFormat="1" applyFont="1" applyFill="1" applyBorder="1"/>
    <xf numFmtId="0" fontId="51" fillId="4" borderId="1" xfId="0" applyFont="1" applyFill="1" applyBorder="1" applyAlignment="1">
      <alignment horizontal="center" vertical="center"/>
    </xf>
    <xf numFmtId="0" fontId="51" fillId="4" borderId="1" xfId="0" applyFont="1" applyFill="1" applyBorder="1"/>
    <xf numFmtId="14" fontId="51" fillId="4" borderId="1" xfId="0" applyNumberFormat="1" applyFont="1" applyFill="1" applyBorder="1" applyAlignment="1">
      <alignment horizontal="center" vertical="center"/>
    </xf>
    <xf numFmtId="0" fontId="51" fillId="4" borderId="1" xfId="0" applyFont="1" applyFill="1" applyBorder="1" applyAlignment="1">
      <alignment horizontal="left" vertical="center" wrapText="1"/>
    </xf>
    <xf numFmtId="0" fontId="51" fillId="4" borderId="1" xfId="0" applyFont="1" applyFill="1" applyBorder="1" applyAlignment="1">
      <alignment horizontal="center"/>
    </xf>
    <xf numFmtId="0" fontId="68" fillId="4" borderId="0" xfId="0" applyFont="1" applyFill="1"/>
    <xf numFmtId="0" fontId="68" fillId="4" borderId="0" xfId="0" applyFont="1" applyFill="1" applyProtection="1"/>
    <xf numFmtId="0" fontId="68" fillId="4" borderId="0" xfId="0" applyNumberFormat="1" applyFont="1" applyFill="1" applyProtection="1"/>
    <xf numFmtId="179" fontId="68" fillId="4" borderId="0" xfId="0" applyNumberFormat="1" applyFont="1" applyFill="1" applyProtection="1"/>
    <xf numFmtId="0" fontId="47" fillId="0" borderId="0" xfId="0" applyFont="1" applyAlignment="1">
      <alignment horizontal="left" vertical="center" wrapText="1"/>
    </xf>
    <xf numFmtId="0" fontId="47" fillId="11" borderId="0" xfId="0" applyFont="1" applyFill="1" applyAlignment="1">
      <alignment horizontal="left" vertical="top" wrapText="1"/>
    </xf>
    <xf numFmtId="0" fontId="47" fillId="8" borderId="1" xfId="0" applyNumberFormat="1" applyFont="1" applyFill="1" applyBorder="1" applyAlignment="1" applyProtection="1">
      <alignment horizontal="center" vertical="center"/>
    </xf>
    <xf numFmtId="0" fontId="76" fillId="0" borderId="0" xfId="0" applyFont="1" applyAlignment="1">
      <alignment vertical="center"/>
    </xf>
    <xf numFmtId="0" fontId="76" fillId="8" borderId="1" xfId="0" applyNumberFormat="1" applyFont="1" applyFill="1" applyBorder="1" applyAlignment="1" applyProtection="1">
      <alignment horizontal="center" vertical="center"/>
    </xf>
    <xf numFmtId="0" fontId="76" fillId="8" borderId="64" xfId="0" applyFont="1" applyFill="1" applyBorder="1" applyAlignment="1" applyProtection="1">
      <alignment horizontal="center" vertical="center"/>
    </xf>
    <xf numFmtId="0" fontId="76" fillId="0" borderId="0" xfId="0" applyFont="1" applyProtection="1"/>
    <xf numFmtId="0" fontId="76" fillId="8" borderId="64" xfId="0" applyFont="1" applyFill="1" applyBorder="1" applyProtection="1"/>
    <xf numFmtId="0" fontId="51" fillId="10" borderId="81" xfId="0" applyFont="1" applyFill="1" applyBorder="1" applyAlignment="1">
      <alignment vertical="center"/>
    </xf>
    <xf numFmtId="0" fontId="51" fillId="10" borderId="81" xfId="0" applyFont="1" applyFill="1" applyBorder="1" applyAlignment="1">
      <alignment vertical="center" wrapText="1"/>
    </xf>
    <xf numFmtId="0" fontId="51" fillId="0" borderId="82" xfId="0" applyFont="1" applyBorder="1" applyAlignment="1">
      <alignment vertical="center"/>
    </xf>
    <xf numFmtId="0" fontId="51" fillId="0" borderId="82" xfId="0" applyFont="1" applyBorder="1" applyAlignment="1">
      <alignment vertical="center" wrapText="1"/>
    </xf>
    <xf numFmtId="0" fontId="51" fillId="6" borderId="82" xfId="0" applyFont="1" applyFill="1" applyBorder="1" applyAlignment="1">
      <alignment vertical="center" wrapText="1"/>
    </xf>
    <xf numFmtId="0" fontId="51" fillId="10" borderId="82" xfId="0" applyFont="1" applyFill="1" applyBorder="1" applyAlignment="1">
      <alignment vertical="center"/>
    </xf>
    <xf numFmtId="0" fontId="51" fillId="10" borderId="82" xfId="0" applyFont="1" applyFill="1" applyBorder="1" applyAlignment="1">
      <alignment vertical="center" wrapText="1"/>
    </xf>
    <xf numFmtId="0" fontId="61" fillId="0" borderId="82" xfId="0" applyFont="1" applyBorder="1" applyAlignment="1">
      <alignment horizontal="justify" vertical="center" wrapText="1"/>
    </xf>
    <xf numFmtId="0" fontId="61" fillId="0" borderId="82" xfId="0" applyFont="1" applyBorder="1" applyAlignment="1">
      <alignment vertical="center" wrapText="1"/>
    </xf>
    <xf numFmtId="49" fontId="51" fillId="0" borderId="82" xfId="0" applyNumberFormat="1" applyFont="1" applyBorder="1" applyAlignment="1">
      <alignment horizontal="center" vertical="center" wrapText="1"/>
    </xf>
    <xf numFmtId="0" fontId="58" fillId="0" borderId="82" xfId="0" applyFont="1" applyBorder="1" applyAlignment="1">
      <alignment vertical="center" wrapText="1"/>
    </xf>
    <xf numFmtId="49" fontId="51" fillId="10" borderId="81" xfId="0" applyNumberFormat="1" applyFont="1" applyFill="1" applyBorder="1" applyAlignment="1">
      <alignment horizontal="center" vertical="center" wrapText="1"/>
    </xf>
    <xf numFmtId="49" fontId="51" fillId="10" borderId="82" xfId="0" applyNumberFormat="1" applyFont="1" applyFill="1" applyBorder="1" applyAlignment="1">
      <alignment horizontal="center" vertical="center" wrapText="1"/>
    </xf>
    <xf numFmtId="49" fontId="61" fillId="10" borderId="82" xfId="0" applyNumberFormat="1" applyFont="1" applyFill="1" applyBorder="1" applyAlignment="1">
      <alignment horizontal="center" vertical="center" wrapText="1"/>
    </xf>
    <xf numFmtId="0" fontId="61" fillId="10" borderId="82" xfId="0" applyFont="1" applyFill="1" applyBorder="1" applyAlignment="1">
      <alignment horizontal="left" vertical="center" wrapText="1"/>
    </xf>
    <xf numFmtId="0" fontId="51" fillId="0" borderId="82" xfId="0" applyFont="1" applyBorder="1" applyAlignment="1">
      <alignment horizontal="center" vertical="center" wrapText="1"/>
    </xf>
    <xf numFmtId="0" fontId="61" fillId="10" borderId="82" xfId="0" applyFont="1" applyFill="1" applyBorder="1" applyAlignment="1">
      <alignment horizontal="center" vertical="center" wrapText="1"/>
    </xf>
    <xf numFmtId="0" fontId="61" fillId="0" borderId="82" xfId="0" applyFont="1" applyBorder="1" applyAlignment="1">
      <alignment horizontal="left" vertical="center" wrapText="1"/>
    </xf>
    <xf numFmtId="0" fontId="51" fillId="0" borderId="82" xfId="0" applyFont="1" applyBorder="1" applyAlignment="1">
      <alignment horizontal="left" vertical="center" wrapText="1"/>
    </xf>
    <xf numFmtId="0" fontId="47" fillId="0" borderId="0" xfId="0" applyFont="1" applyFill="1" applyAlignment="1" applyProtection="1">
      <alignment wrapText="1"/>
    </xf>
    <xf numFmtId="0" fontId="47" fillId="0" borderId="0" xfId="0" applyFont="1" applyFill="1" applyAlignment="1" applyProtection="1">
      <alignment horizontal="left" vertical="center"/>
    </xf>
    <xf numFmtId="0" fontId="47" fillId="0" borderId="0" xfId="0" applyFont="1" applyFill="1" applyAlignment="1">
      <alignment horizontal="left" vertical="center"/>
    </xf>
    <xf numFmtId="0" fontId="51" fillId="0" borderId="1" xfId="0" applyFont="1" applyBorder="1" applyAlignment="1">
      <alignment wrapText="1"/>
    </xf>
    <xf numFmtId="0" fontId="51" fillId="2" borderId="1" xfId="0" applyFont="1" applyFill="1" applyBorder="1" applyAlignment="1" applyProtection="1">
      <alignment horizontal="center" vertical="center"/>
      <protection hidden="1"/>
    </xf>
    <xf numFmtId="0" fontId="51" fillId="0" borderId="0" xfId="0" applyFont="1" applyFill="1" applyBorder="1" applyAlignment="1" applyProtection="1">
      <alignment horizontal="left" vertical="top" wrapText="1"/>
      <protection hidden="1"/>
    </xf>
    <xf numFmtId="0" fontId="51" fillId="0" borderId="1" xfId="0" applyFont="1" applyBorder="1" applyAlignment="1">
      <alignment vertical="center" wrapText="1"/>
    </xf>
    <xf numFmtId="0" fontId="51" fillId="2"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4" borderId="1" xfId="0" applyFont="1" applyFill="1" applyBorder="1" applyAlignment="1">
      <alignment wrapText="1"/>
    </xf>
    <xf numFmtId="0" fontId="51" fillId="0" borderId="0" xfId="0" applyFont="1" applyAlignment="1">
      <alignment wrapText="1"/>
    </xf>
    <xf numFmtId="0" fontId="47" fillId="0" borderId="0" xfId="0" applyFont="1" applyFill="1" applyAlignment="1" applyProtection="1">
      <alignment vertical="center"/>
      <protection hidden="1"/>
    </xf>
    <xf numFmtId="0" fontId="78" fillId="0" borderId="0" xfId="0" applyFont="1" applyFill="1" applyAlignment="1">
      <alignment vertical="center"/>
    </xf>
    <xf numFmtId="0" fontId="47" fillId="0" borderId="0" xfId="0" applyFont="1" applyAlignment="1" applyProtection="1">
      <alignment vertical="center"/>
      <protection hidden="1"/>
    </xf>
    <xf numFmtId="0" fontId="78" fillId="0" borderId="0" xfId="0" applyFont="1" applyAlignment="1">
      <alignment vertical="center"/>
    </xf>
    <xf numFmtId="0" fontId="47" fillId="0" borderId="14" xfId="0" applyFont="1" applyFill="1" applyBorder="1" applyAlignment="1" applyProtection="1">
      <alignment vertical="center" wrapText="1"/>
      <protection hidden="1"/>
    </xf>
    <xf numFmtId="0" fontId="47" fillId="0" borderId="0" xfId="0" applyFont="1" applyFill="1" applyBorder="1" applyAlignment="1" applyProtection="1">
      <alignment vertical="center" wrapText="1"/>
      <protection hidden="1"/>
    </xf>
    <xf numFmtId="0" fontId="47" fillId="0" borderId="0" xfId="0" applyFont="1" applyFill="1" applyAlignment="1" applyProtection="1">
      <alignment horizontal="right" vertical="center" wrapText="1"/>
      <protection hidden="1"/>
    </xf>
    <xf numFmtId="0" fontId="77" fillId="0" borderId="0" xfId="3" applyFont="1" applyFill="1" applyAlignment="1" applyProtection="1">
      <alignment horizontal="left" vertical="center" wrapText="1"/>
      <protection hidden="1"/>
    </xf>
    <xf numFmtId="0" fontId="47" fillId="0" borderId="0" xfId="3" applyFont="1" applyFill="1" applyBorder="1" applyAlignment="1" applyProtection="1">
      <alignment horizontal="left" vertical="center" wrapText="1"/>
      <protection hidden="1"/>
    </xf>
    <xf numFmtId="0" fontId="14" fillId="6" borderId="1" xfId="0" applyFont="1" applyFill="1" applyBorder="1" applyAlignment="1" applyProtection="1">
      <alignment horizontal="center" vertical="center"/>
      <protection locked="0"/>
    </xf>
    <xf numFmtId="0" fontId="51" fillId="12" borderId="0" xfId="0" applyFont="1" applyFill="1" applyProtection="1">
      <protection hidden="1"/>
    </xf>
    <xf numFmtId="0" fontId="43" fillId="12" borderId="0" xfId="0" applyFont="1" applyFill="1"/>
    <xf numFmtId="0" fontId="51" fillId="12" borderId="0" xfId="0" applyFont="1" applyFill="1" applyBorder="1" applyAlignment="1" applyProtection="1">
      <alignment vertical="center" wrapText="1"/>
      <protection locked="0"/>
    </xf>
    <xf numFmtId="0" fontId="51" fillId="12" borderId="0" xfId="0" applyFont="1" applyFill="1" applyBorder="1" applyAlignment="1" applyProtection="1">
      <alignment vertical="center"/>
      <protection hidden="1"/>
    </xf>
    <xf numFmtId="0" fontId="51" fillId="11" borderId="0" xfId="0" applyFont="1" applyFill="1" applyBorder="1" applyAlignment="1" applyProtection="1">
      <alignment vertical="top"/>
      <protection hidden="1"/>
    </xf>
    <xf numFmtId="0" fontId="51" fillId="11" borderId="0" xfId="0" applyFont="1" applyFill="1" applyBorder="1" applyAlignment="1" applyProtection="1">
      <alignment vertical="top" wrapText="1"/>
      <protection hidden="1"/>
    </xf>
    <xf numFmtId="0" fontId="79" fillId="4" borderId="0" xfId="0" applyFont="1" applyFill="1" applyAlignment="1" applyProtection="1">
      <protection hidden="1"/>
    </xf>
    <xf numFmtId="49" fontId="51" fillId="0" borderId="82" xfId="0" applyNumberFormat="1" applyFont="1" applyBorder="1" applyAlignment="1">
      <alignment horizontal="center" vertical="center"/>
    </xf>
    <xf numFmtId="0" fontId="61" fillId="10" borderId="82" xfId="0" applyFont="1" applyFill="1" applyBorder="1" applyAlignment="1">
      <alignment horizontal="left" vertical="center"/>
    </xf>
    <xf numFmtId="49" fontId="51" fillId="10" borderId="81" xfId="0" applyNumberFormat="1" applyFont="1" applyFill="1" applyBorder="1" applyAlignment="1">
      <alignment horizontal="left" vertical="center"/>
    </xf>
    <xf numFmtId="49" fontId="51" fillId="0" borderId="82" xfId="0" applyNumberFormat="1" applyFont="1" applyBorder="1" applyAlignment="1">
      <alignment horizontal="left" vertical="center"/>
    </xf>
    <xf numFmtId="49" fontId="51" fillId="10" borderId="82" xfId="0" applyNumberFormat="1" applyFont="1" applyFill="1" applyBorder="1" applyAlignment="1">
      <alignment horizontal="left" vertical="center"/>
    </xf>
    <xf numFmtId="49" fontId="61" fillId="10" borderId="82" xfId="0" applyNumberFormat="1" applyFont="1" applyFill="1" applyBorder="1" applyAlignment="1">
      <alignment horizontal="left" vertical="center"/>
    </xf>
    <xf numFmtId="0" fontId="51" fillId="0" borderId="82" xfId="0" applyFont="1" applyBorder="1" applyAlignment="1">
      <alignment horizontal="left" vertical="center"/>
    </xf>
    <xf numFmtId="49" fontId="51" fillId="0" borderId="82" xfId="0" applyNumberFormat="1" applyFont="1" applyBorder="1" applyAlignment="1">
      <alignment horizontal="right" vertical="center"/>
    </xf>
    <xf numFmtId="0" fontId="47" fillId="0" borderId="0" xfId="0" applyNumberFormat="1" applyFont="1"/>
    <xf numFmtId="0" fontId="68" fillId="4" borderId="1" xfId="0" applyFont="1" applyFill="1" applyBorder="1" applyAlignment="1" applyProtection="1">
      <alignment vertical="center"/>
    </xf>
    <xf numFmtId="0" fontId="68" fillId="4" borderId="0" xfId="0" applyFont="1" applyFill="1" applyAlignment="1">
      <alignment vertical="center"/>
    </xf>
    <xf numFmtId="0" fontId="80" fillId="4" borderId="0" xfId="0" applyFont="1" applyFill="1" applyAlignment="1" applyProtection="1">
      <alignment vertical="center"/>
    </xf>
    <xf numFmtId="0" fontId="47" fillId="0" borderId="0" xfId="0" applyFont="1" applyFill="1" applyBorder="1" applyAlignment="1">
      <alignment horizontal="left" vertical="top"/>
    </xf>
    <xf numFmtId="187" fontId="47" fillId="0" borderId="0" xfId="0" applyNumberFormat="1" applyFont="1"/>
    <xf numFmtId="0" fontId="51" fillId="0" borderId="0" xfId="0" applyFont="1" applyFill="1" applyBorder="1" applyAlignment="1" applyProtection="1">
      <alignment horizontal="left" vertical="top" wrapText="1"/>
      <protection hidden="1"/>
    </xf>
    <xf numFmtId="0" fontId="51" fillId="0" borderId="1" xfId="0" applyFont="1" applyBorder="1" applyAlignment="1">
      <alignment vertical="top" wrapText="1"/>
    </xf>
    <xf numFmtId="0" fontId="77" fillId="0" borderId="0" xfId="3" applyFont="1" applyAlignment="1" applyProtection="1">
      <alignment vertical="center"/>
      <protection hidden="1"/>
    </xf>
    <xf numFmtId="0" fontId="47" fillId="0" borderId="0" xfId="0" applyFont="1" applyAlignment="1" applyProtection="1">
      <alignment horizontal="right" vertical="center"/>
      <protection hidden="1"/>
    </xf>
    <xf numFmtId="0" fontId="3" fillId="0" borderId="14" xfId="0" applyFont="1" applyFill="1" applyBorder="1" applyAlignment="1" applyProtection="1">
      <alignment wrapText="1"/>
      <protection hidden="1"/>
    </xf>
    <xf numFmtId="0" fontId="51" fillId="2" borderId="10" xfId="0" applyFont="1" applyFill="1" applyBorder="1" applyAlignment="1" applyProtection="1">
      <alignment horizontal="center" vertical="center"/>
      <protection hidden="1"/>
    </xf>
    <xf numFmtId="0" fontId="51" fillId="0" borderId="1" xfId="0" applyFont="1" applyBorder="1" applyAlignment="1">
      <alignment horizontal="center" vertical="center" wrapText="1"/>
    </xf>
    <xf numFmtId="0" fontId="51" fillId="0" borderId="0" xfId="0" applyFont="1" applyBorder="1"/>
    <xf numFmtId="0" fontId="61" fillId="13" borderId="82" xfId="0" applyFont="1" applyFill="1" applyBorder="1" applyAlignment="1">
      <alignment horizontal="justify" vertical="center" wrapText="1"/>
    </xf>
    <xf numFmtId="0" fontId="47" fillId="8" borderId="1" xfId="0" applyNumberFormat="1" applyFont="1" applyFill="1" applyBorder="1" applyAlignment="1" applyProtection="1">
      <alignment horizontal="center" vertical="center"/>
    </xf>
    <xf numFmtId="178" fontId="51" fillId="2" borderId="11" xfId="0" applyNumberFormat="1" applyFont="1" applyFill="1" applyBorder="1" applyAlignment="1" applyProtection="1">
      <alignment vertical="center" shrinkToFit="1"/>
      <protection hidden="1"/>
    </xf>
    <xf numFmtId="178" fontId="51" fillId="2" borderId="11" xfId="0" applyNumberFormat="1" applyFont="1" applyFill="1" applyBorder="1" applyAlignment="1" applyProtection="1">
      <alignment vertical="center"/>
      <protection hidden="1"/>
    </xf>
    <xf numFmtId="178" fontId="51" fillId="2" borderId="11" xfId="0" applyNumberFormat="1" applyFont="1" applyFill="1" applyBorder="1" applyAlignment="1" applyProtection="1">
      <alignment horizontal="right" vertical="center"/>
      <protection hidden="1"/>
    </xf>
    <xf numFmtId="0" fontId="51" fillId="13" borderId="82" xfId="0" applyFont="1" applyFill="1" applyBorder="1" applyAlignment="1">
      <alignment vertical="center" wrapText="1"/>
    </xf>
    <xf numFmtId="0" fontId="47" fillId="8" borderId="1" xfId="0" applyNumberFormat="1" applyFont="1" applyFill="1" applyBorder="1" applyAlignment="1" applyProtection="1">
      <alignment horizontal="center" vertical="center"/>
    </xf>
    <xf numFmtId="3" fontId="48" fillId="8" borderId="1" xfId="0" applyNumberFormat="1" applyFont="1" applyFill="1" applyBorder="1" applyAlignment="1">
      <alignment vertical="center"/>
    </xf>
    <xf numFmtId="3" fontId="48" fillId="8" borderId="1" xfId="0" applyNumberFormat="1" applyFont="1" applyFill="1" applyBorder="1" applyAlignment="1">
      <alignment horizontal="center" vertical="center"/>
    </xf>
    <xf numFmtId="0" fontId="48" fillId="8" borderId="1" xfId="0" applyFont="1" applyFill="1" applyBorder="1" applyAlignment="1">
      <alignment horizontal="center" vertical="center"/>
    </xf>
    <xf numFmtId="177" fontId="47" fillId="8" borderId="1" xfId="0" applyNumberFormat="1" applyFont="1" applyFill="1" applyBorder="1"/>
    <xf numFmtId="0" fontId="48" fillId="8" borderId="1" xfId="0" applyFont="1" applyFill="1" applyBorder="1" applyAlignment="1">
      <alignment vertical="center"/>
    </xf>
    <xf numFmtId="0" fontId="69" fillId="8" borderId="1" xfId="0" applyFont="1" applyFill="1" applyBorder="1" applyAlignment="1">
      <alignment vertical="center"/>
    </xf>
    <xf numFmtId="0" fontId="69" fillId="8" borderId="1" xfId="0" applyFont="1" applyFill="1" applyBorder="1" applyAlignment="1">
      <alignment horizontal="center" vertical="center"/>
    </xf>
    <xf numFmtId="3" fontId="69" fillId="8" borderId="1" xfId="0" applyNumberFormat="1" applyFont="1" applyFill="1" applyBorder="1" applyAlignment="1">
      <alignment horizontal="center" vertical="center"/>
    </xf>
    <xf numFmtId="3" fontId="69" fillId="8" borderId="1" xfId="0" applyNumberFormat="1" applyFont="1" applyFill="1" applyBorder="1" applyAlignment="1">
      <alignment vertical="center"/>
    </xf>
    <xf numFmtId="0" fontId="69" fillId="0" borderId="0" xfId="0" applyFont="1" applyFill="1" applyBorder="1" applyAlignment="1">
      <alignment horizontal="center" vertical="center"/>
    </xf>
    <xf numFmtId="177" fontId="69" fillId="0" borderId="0" xfId="0" applyNumberFormat="1" applyFont="1" applyFill="1" applyBorder="1" applyAlignment="1">
      <alignment horizontal="center" vertical="center"/>
    </xf>
    <xf numFmtId="178" fontId="69" fillId="0" borderId="0" xfId="0" applyNumberFormat="1" applyFont="1" applyFill="1" applyBorder="1" applyAlignment="1">
      <alignment horizontal="center" vertical="center"/>
    </xf>
    <xf numFmtId="0" fontId="80" fillId="8" borderId="1" xfId="0" applyFont="1" applyFill="1" applyBorder="1" applyAlignment="1">
      <alignment horizontal="center" vertical="center"/>
    </xf>
    <xf numFmtId="188" fontId="47" fillId="8" borderId="1" xfId="0" applyNumberFormat="1" applyFont="1" applyFill="1" applyBorder="1" applyProtection="1"/>
    <xf numFmtId="0" fontId="51" fillId="10" borderId="0" xfId="4" applyFont="1" applyFill="1"/>
    <xf numFmtId="49" fontId="51" fillId="10" borderId="0" xfId="4" applyNumberFormat="1" applyFont="1" applyFill="1" applyAlignment="1">
      <alignment horizontal="right" vertical="center"/>
    </xf>
    <xf numFmtId="0" fontId="51" fillId="10" borderId="0" xfId="4" applyFont="1" applyFill="1" applyAlignment="1">
      <alignment horizontal="left" vertical="center"/>
    </xf>
    <xf numFmtId="0" fontId="51" fillId="10" borderId="0" xfId="4" applyFont="1" applyFill="1" applyAlignment="1">
      <alignment vertical="center"/>
    </xf>
    <xf numFmtId="0" fontId="43" fillId="10" borderId="0" xfId="4" applyFont="1" applyFill="1"/>
    <xf numFmtId="0" fontId="43" fillId="5" borderId="0" xfId="4" applyFont="1" applyFill="1"/>
    <xf numFmtId="0" fontId="51" fillId="0" borderId="0" xfId="4" applyFont="1"/>
    <xf numFmtId="0" fontId="58" fillId="0" borderId="0" xfId="4" applyFont="1"/>
    <xf numFmtId="0" fontId="47" fillId="0" borderId="0" xfId="0" applyFont="1" applyAlignment="1" applyProtection="1">
      <alignment horizontal="center"/>
    </xf>
    <xf numFmtId="189" fontId="47" fillId="8" borderId="1" xfId="0" applyNumberFormat="1" applyFont="1" applyFill="1" applyBorder="1" applyAlignment="1" applyProtection="1">
      <alignment horizontal="center" vertical="center"/>
    </xf>
    <xf numFmtId="177" fontId="47" fillId="8" borderId="1" xfId="0" applyNumberFormat="1" applyFont="1" applyFill="1" applyBorder="1" applyAlignment="1" applyProtection="1">
      <alignment horizontal="center"/>
    </xf>
    <xf numFmtId="0" fontId="69" fillId="0" borderId="0" xfId="4" applyFont="1" applyAlignment="1">
      <alignment vertical="center"/>
    </xf>
    <xf numFmtId="0" fontId="69" fillId="12" borderId="0" xfId="4" applyFont="1" applyFill="1"/>
    <xf numFmtId="0" fontId="51" fillId="0" borderId="0" xfId="4" applyFont="1" applyFill="1"/>
    <xf numFmtId="0" fontId="69" fillId="0" borderId="0" xfId="4" applyFont="1" applyFill="1"/>
    <xf numFmtId="0" fontId="69" fillId="6" borderId="1" xfId="4" applyFont="1" applyFill="1" applyBorder="1" applyAlignment="1">
      <alignment horizontal="center" vertical="center"/>
    </xf>
    <xf numFmtId="190" fontId="47" fillId="8" borderId="1" xfId="0" applyNumberFormat="1" applyFont="1" applyFill="1" applyBorder="1" applyAlignment="1" applyProtection="1">
      <alignment horizontal="center" vertical="center"/>
    </xf>
    <xf numFmtId="178" fontId="51" fillId="0" borderId="1" xfId="4" applyNumberFormat="1" applyFont="1" applyBorder="1" applyAlignment="1">
      <alignment shrinkToFit="1"/>
    </xf>
    <xf numFmtId="177" fontId="51" fillId="0" borderId="1" xfId="4" applyNumberFormat="1" applyFont="1" applyBorder="1" applyAlignment="1">
      <alignment horizontal="right" vertical="center" shrinkToFit="1"/>
    </xf>
    <xf numFmtId="177" fontId="51" fillId="0" borderId="1" xfId="4" applyNumberFormat="1" applyFont="1" applyBorder="1" applyAlignment="1">
      <alignment shrinkToFit="1"/>
    </xf>
    <xf numFmtId="178" fontId="51" fillId="11" borderId="1" xfId="4" applyNumberFormat="1" applyFont="1" applyFill="1" applyBorder="1" applyAlignment="1">
      <alignment vertical="center" shrinkToFit="1"/>
    </xf>
    <xf numFmtId="0" fontId="54" fillId="0" borderId="0" xfId="4" applyFont="1" applyAlignment="1">
      <alignment wrapText="1"/>
    </xf>
    <xf numFmtId="0" fontId="51" fillId="2" borderId="1" xfId="0" applyFont="1" applyFill="1" applyBorder="1" applyAlignment="1">
      <alignment horizontal="left" vertical="center" wrapText="1"/>
    </xf>
    <xf numFmtId="0" fontId="3" fillId="0" borderId="0" xfId="4" applyFont="1"/>
    <xf numFmtId="0" fontId="56" fillId="0" borderId="0" xfId="3" applyFont="1"/>
    <xf numFmtId="0" fontId="47" fillId="0" borderId="14" xfId="0" applyNumberFormat="1" applyFont="1" applyFill="1" applyBorder="1" applyAlignment="1" applyProtection="1">
      <alignment horizontal="center"/>
    </xf>
    <xf numFmtId="177" fontId="47" fillId="0" borderId="14" xfId="0" applyNumberFormat="1" applyFont="1" applyFill="1" applyBorder="1" applyAlignment="1" applyProtection="1">
      <alignment horizontal="center" vertical="center"/>
    </xf>
    <xf numFmtId="0" fontId="86" fillId="4" borderId="6" xfId="4" applyFont="1" applyFill="1" applyBorder="1" applyAlignment="1">
      <alignment horizontal="left" vertical="center"/>
    </xf>
    <xf numFmtId="177" fontId="51" fillId="4" borderId="7" xfId="4" applyNumberFormat="1" applyFont="1" applyFill="1" applyBorder="1" applyAlignment="1">
      <alignment horizontal="right" shrinkToFit="1"/>
    </xf>
    <xf numFmtId="177" fontId="51" fillId="0" borderId="91" xfId="4" applyNumberFormat="1" applyFont="1" applyBorder="1" applyAlignment="1">
      <alignment horizontal="right" shrinkToFit="1"/>
    </xf>
    <xf numFmtId="178" fontId="51" fillId="0" borderId="7" xfId="4" applyNumberFormat="1" applyFont="1" applyBorder="1" applyAlignment="1">
      <alignment shrinkToFit="1"/>
    </xf>
    <xf numFmtId="0" fontId="51" fillId="0" borderId="14" xfId="4" applyFont="1" applyBorder="1"/>
    <xf numFmtId="0" fontId="51" fillId="0" borderId="9" xfId="4" applyFont="1" applyBorder="1"/>
    <xf numFmtId="0" fontId="51" fillId="0" borderId="95" xfId="4" applyFont="1" applyFill="1" applyBorder="1" applyAlignment="1"/>
    <xf numFmtId="0" fontId="51" fillId="0" borderId="95" xfId="4" applyFont="1" applyFill="1" applyBorder="1" applyAlignment="1">
      <alignment horizontal="center"/>
    </xf>
    <xf numFmtId="0" fontId="51" fillId="0" borderId="96" xfId="4" applyFont="1" applyFill="1" applyBorder="1" applyAlignment="1">
      <alignment horizontal="center"/>
    </xf>
    <xf numFmtId="0" fontId="51" fillId="0" borderId="8" xfId="4" applyFont="1" applyBorder="1"/>
    <xf numFmtId="0" fontId="51" fillId="0" borderId="97" xfId="4" applyFont="1" applyFill="1" applyBorder="1" applyAlignment="1"/>
    <xf numFmtId="0" fontId="85" fillId="14" borderId="7" xfId="4" applyFont="1" applyFill="1" applyBorder="1" applyAlignment="1">
      <alignment horizontal="left" vertical="center"/>
    </xf>
    <xf numFmtId="0" fontId="85" fillId="14" borderId="10" xfId="4" applyFont="1" applyFill="1" applyBorder="1" applyAlignment="1">
      <alignment horizontal="left" vertical="center"/>
    </xf>
    <xf numFmtId="0" fontId="85" fillId="14" borderId="94" xfId="4" applyFont="1" applyFill="1" applyBorder="1" applyAlignment="1">
      <alignment horizontal="left" vertical="center"/>
    </xf>
    <xf numFmtId="178" fontId="51" fillId="14" borderId="91" xfId="4" applyNumberFormat="1" applyFont="1" applyFill="1" applyBorder="1" applyAlignment="1">
      <alignment horizontal="center" vertical="center" shrinkToFit="1"/>
    </xf>
    <xf numFmtId="0" fontId="85" fillId="14" borderId="81" xfId="4" applyFont="1" applyFill="1" applyBorder="1" applyAlignment="1">
      <alignment horizontal="left" vertical="center"/>
    </xf>
    <xf numFmtId="0" fontId="85" fillId="14" borderId="82" xfId="4" applyFont="1" applyFill="1" applyBorder="1" applyAlignment="1">
      <alignment horizontal="left" vertical="center"/>
    </xf>
    <xf numFmtId="0" fontId="85" fillId="14" borderId="104" xfId="4" applyFont="1" applyFill="1" applyBorder="1" applyAlignment="1">
      <alignment horizontal="left" vertical="center"/>
    </xf>
    <xf numFmtId="49" fontId="51" fillId="14" borderId="81" xfId="4" applyNumberFormat="1" applyFont="1" applyFill="1" applyBorder="1" applyAlignment="1">
      <alignment horizontal="center" vertical="center" shrinkToFit="1"/>
    </xf>
    <xf numFmtId="178" fontId="51" fillId="0" borderId="82" xfId="4" applyNumberFormat="1" applyFont="1" applyBorder="1" applyAlignment="1">
      <alignment shrinkToFit="1"/>
    </xf>
    <xf numFmtId="178" fontId="51" fillId="14" borderId="105" xfId="4" applyNumberFormat="1" applyFont="1" applyFill="1" applyBorder="1" applyAlignment="1">
      <alignment shrinkToFit="1"/>
    </xf>
    <xf numFmtId="177" fontId="51" fillId="11" borderId="82" xfId="4" applyNumberFormat="1" applyFont="1" applyFill="1" applyBorder="1" applyAlignment="1">
      <alignment shrinkToFit="1"/>
    </xf>
    <xf numFmtId="177" fontId="51" fillId="14" borderId="105" xfId="4" applyNumberFormat="1" applyFont="1" applyFill="1" applyBorder="1" applyAlignment="1">
      <alignment shrinkToFit="1"/>
    </xf>
    <xf numFmtId="177" fontId="51" fillId="0" borderId="104" xfId="4" applyNumberFormat="1" applyFont="1" applyBorder="1" applyAlignment="1">
      <alignment horizontal="right" vertical="center" shrinkToFit="1"/>
    </xf>
    <xf numFmtId="177" fontId="51" fillId="7" borderId="81" xfId="4" applyNumberFormat="1" applyFont="1" applyFill="1" applyBorder="1" applyAlignment="1">
      <alignment horizontal="right" vertical="center" shrinkToFit="1"/>
    </xf>
    <xf numFmtId="177" fontId="51" fillId="14" borderId="106" xfId="4" applyNumberFormat="1" applyFont="1" applyFill="1" applyBorder="1" applyAlignment="1">
      <alignment horizontal="right" vertical="center" shrinkToFit="1"/>
    </xf>
    <xf numFmtId="0" fontId="47" fillId="0" borderId="0" xfId="0" applyFont="1" applyAlignment="1" applyProtection="1">
      <alignment wrapText="1"/>
    </xf>
    <xf numFmtId="191" fontId="47" fillId="8" borderId="1" xfId="0" applyNumberFormat="1" applyFont="1" applyFill="1" applyBorder="1" applyAlignment="1" applyProtection="1">
      <alignment horizontal="center" vertical="center" wrapText="1"/>
    </xf>
    <xf numFmtId="179" fontId="47" fillId="0" borderId="0" xfId="0" applyNumberFormat="1" applyFont="1" applyAlignment="1" applyProtection="1">
      <alignment vertical="center"/>
    </xf>
    <xf numFmtId="0" fontId="51" fillId="0" borderId="1" xfId="0" applyFont="1" applyBorder="1" applyAlignment="1">
      <alignment horizontal="center"/>
    </xf>
    <xf numFmtId="0" fontId="54" fillId="0" borderId="0" xfId="0" applyFont="1" applyProtection="1">
      <protection hidden="1"/>
    </xf>
    <xf numFmtId="0" fontId="47" fillId="8" borderId="1" xfId="0" applyFont="1" applyFill="1" applyBorder="1" applyAlignment="1">
      <alignment horizontal="left" vertical="top" wrapText="1"/>
    </xf>
    <xf numFmtId="0" fontId="51" fillId="4" borderId="1" xfId="0" applyFont="1" applyFill="1" applyBorder="1" applyAlignment="1">
      <alignment horizontal="center" wrapText="1"/>
    </xf>
    <xf numFmtId="0" fontId="51" fillId="0" borderId="1" xfId="0" applyFont="1" applyBorder="1" applyAlignment="1">
      <alignment horizontal="center" wrapText="1"/>
    </xf>
    <xf numFmtId="0" fontId="51" fillId="0" borderId="0" xfId="0" applyFont="1" applyAlignment="1">
      <alignment horizontal="center" wrapText="1"/>
    </xf>
    <xf numFmtId="0" fontId="51" fillId="0" borderId="1" xfId="0" applyFont="1" applyBorder="1" applyAlignment="1">
      <alignment horizontal="left" vertical="center" wrapText="1"/>
    </xf>
    <xf numFmtId="192" fontId="51" fillId="2" borderId="1" xfId="0" applyNumberFormat="1" applyFont="1" applyFill="1" applyBorder="1" applyAlignment="1">
      <alignment horizontal="center" vertical="top"/>
    </xf>
    <xf numFmtId="192" fontId="51" fillId="4" borderId="1" xfId="0" applyNumberFormat="1" applyFont="1" applyFill="1" applyBorder="1" applyAlignment="1">
      <alignment horizontal="center" vertical="top"/>
    </xf>
    <xf numFmtId="192" fontId="51" fillId="0" borderId="1" xfId="0" applyNumberFormat="1" applyFont="1" applyBorder="1" applyAlignment="1">
      <alignment horizontal="center" vertical="top"/>
    </xf>
    <xf numFmtId="192" fontId="51" fillId="0" borderId="0" xfId="0" applyNumberFormat="1" applyFont="1" applyAlignment="1">
      <alignment horizontal="center" vertical="top"/>
    </xf>
    <xf numFmtId="14" fontId="51" fillId="0" borderId="1" xfId="0" applyNumberFormat="1" applyFont="1" applyBorder="1" applyAlignment="1">
      <alignment horizontal="center" vertical="center"/>
    </xf>
    <xf numFmtId="192" fontId="51" fillId="7" borderId="1" xfId="0" applyNumberFormat="1" applyFont="1" applyFill="1" applyBorder="1" applyAlignment="1">
      <alignment horizontal="center" vertical="top"/>
    </xf>
    <xf numFmtId="14" fontId="51" fillId="7" borderId="1" xfId="0" applyNumberFormat="1" applyFont="1" applyFill="1" applyBorder="1"/>
    <xf numFmtId="0" fontId="51" fillId="7" borderId="1" xfId="0" applyFont="1" applyFill="1" applyBorder="1" applyAlignment="1">
      <alignment horizontal="center" vertical="center"/>
    </xf>
    <xf numFmtId="0" fontId="51" fillId="7" borderId="1" xfId="0" applyFont="1" applyFill="1" applyBorder="1" applyAlignment="1">
      <alignment horizontal="center" vertical="center" wrapText="1"/>
    </xf>
    <xf numFmtId="0" fontId="51" fillId="7" borderId="1" xfId="0" applyFont="1" applyFill="1" applyBorder="1" applyAlignment="1">
      <alignment wrapText="1"/>
    </xf>
    <xf numFmtId="0" fontId="51" fillId="7" borderId="1" xfId="0" applyFont="1" applyFill="1" applyBorder="1" applyAlignment="1">
      <alignment vertical="center" wrapText="1"/>
    </xf>
    <xf numFmtId="0" fontId="51" fillId="7" borderId="1" xfId="0" applyFont="1" applyFill="1" applyBorder="1"/>
    <xf numFmtId="0" fontId="51" fillId="7" borderId="1" xfId="0" applyFont="1" applyFill="1" applyBorder="1" applyAlignment="1">
      <alignment vertical="top" wrapText="1"/>
    </xf>
    <xf numFmtId="0" fontId="51" fillId="7" borderId="1" xfId="0" applyFont="1" applyFill="1" applyBorder="1" applyAlignment="1">
      <alignment vertical="center"/>
    </xf>
    <xf numFmtId="0" fontId="51" fillId="7" borderId="4" xfId="0" applyFont="1" applyFill="1" applyBorder="1" applyAlignment="1">
      <alignment vertical="center"/>
    </xf>
    <xf numFmtId="0" fontId="51" fillId="7" borderId="4" xfId="0" applyFont="1" applyFill="1" applyBorder="1" applyAlignment="1">
      <alignment horizontal="center" vertical="center"/>
    </xf>
    <xf numFmtId="0" fontId="51" fillId="7" borderId="4" xfId="0" applyFont="1" applyFill="1" applyBorder="1" applyAlignment="1">
      <alignment horizontal="center" vertical="center" wrapText="1"/>
    </xf>
    <xf numFmtId="0" fontId="51" fillId="7" borderId="4" xfId="0" applyFont="1" applyFill="1" applyBorder="1" applyAlignment="1">
      <alignment wrapText="1"/>
    </xf>
    <xf numFmtId="0" fontId="51" fillId="7" borderId="4" xfId="0" applyFont="1" applyFill="1" applyBorder="1"/>
    <xf numFmtId="0" fontId="51" fillId="7" borderId="4" xfId="0" applyFont="1" applyFill="1" applyBorder="1" applyAlignment="1">
      <alignment vertical="center" wrapText="1"/>
    </xf>
    <xf numFmtId="14" fontId="51" fillId="7" borderId="1" xfId="0" applyNumberFormat="1" applyFont="1" applyFill="1" applyBorder="1" applyAlignment="1">
      <alignment horizontal="right" vertical="center"/>
    </xf>
    <xf numFmtId="0" fontId="51" fillId="2" borderId="1" xfId="0" applyFont="1" applyFill="1" applyBorder="1" applyAlignment="1" applyProtection="1">
      <alignment horizontal="center" vertical="center"/>
      <protection hidden="1"/>
    </xf>
    <xf numFmtId="0" fontId="51" fillId="6" borderId="1" xfId="0" applyFont="1" applyFill="1" applyBorder="1" applyAlignment="1" applyProtection="1">
      <alignment horizontal="center" vertical="center"/>
      <protection locked="0"/>
    </xf>
    <xf numFmtId="0" fontId="51" fillId="2" borderId="1" xfId="0" applyFont="1" applyFill="1" applyBorder="1" applyAlignment="1" applyProtection="1">
      <alignment horizontal="center" vertical="center" wrapText="1"/>
      <protection hidden="1"/>
    </xf>
    <xf numFmtId="0" fontId="54" fillId="0" borderId="0" xfId="0" applyFont="1" applyBorder="1" applyAlignment="1" applyProtection="1">
      <alignment horizontal="left" vertical="center"/>
      <protection hidden="1"/>
    </xf>
    <xf numFmtId="0" fontId="51" fillId="0" borderId="0" xfId="0" applyFont="1" applyFill="1" applyBorder="1" applyProtection="1">
      <protection hidden="1"/>
    </xf>
    <xf numFmtId="0" fontId="51" fillId="0" borderId="0" xfId="0" applyFont="1" applyBorder="1" applyAlignment="1" applyProtection="1">
      <alignment horizontal="right"/>
      <protection hidden="1"/>
    </xf>
    <xf numFmtId="0" fontId="43" fillId="0" borderId="0" xfId="0" applyFont="1" applyBorder="1"/>
    <xf numFmtId="0" fontId="47" fillId="8" borderId="10" xfId="0" applyFont="1" applyFill="1" applyBorder="1" applyAlignment="1">
      <alignment horizontal="center"/>
    </xf>
    <xf numFmtId="0" fontId="47" fillId="8" borderId="10" xfId="0" applyFont="1" applyFill="1" applyBorder="1" applyAlignment="1" applyProtection="1">
      <alignment horizontal="center" vertical="center"/>
    </xf>
    <xf numFmtId="0" fontId="74" fillId="12"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4" xfId="0" applyFont="1" applyFill="1" applyBorder="1" applyAlignment="1" applyProtection="1">
      <alignment horizontal="center" vertical="center" wrapText="1"/>
      <protection hidden="1"/>
    </xf>
    <xf numFmtId="0" fontId="51" fillId="0" borderId="0" xfId="0" applyFont="1" applyAlignment="1" applyProtection="1">
      <protection hidden="1"/>
    </xf>
    <xf numFmtId="0" fontId="90" fillId="0" borderId="82" xfId="0" applyFont="1" applyBorder="1" applyAlignment="1">
      <alignment horizontal="justify" vertical="center" wrapText="1"/>
    </xf>
    <xf numFmtId="0" fontId="60" fillId="0" borderId="82" xfId="0" applyFont="1" applyBorder="1" applyAlignment="1">
      <alignment vertical="center"/>
    </xf>
    <xf numFmtId="49" fontId="60" fillId="0" borderId="82" xfId="0" applyNumberFormat="1" applyFont="1" applyBorder="1" applyAlignment="1">
      <alignment horizontal="left" vertical="center"/>
    </xf>
    <xf numFmtId="49" fontId="60" fillId="0" borderId="82" xfId="0" applyNumberFormat="1" applyFont="1" applyBorder="1" applyAlignment="1">
      <alignment horizontal="center" vertical="center" wrapText="1"/>
    </xf>
    <xf numFmtId="0" fontId="60" fillId="0" borderId="82" xfId="0" applyFont="1" applyBorder="1" applyAlignment="1">
      <alignment vertical="center" wrapText="1"/>
    </xf>
    <xf numFmtId="0" fontId="34" fillId="0" borderId="3" xfId="0" applyFont="1" applyFill="1" applyBorder="1" applyProtection="1">
      <protection hidden="1"/>
    </xf>
    <xf numFmtId="0" fontId="12" fillId="0" borderId="0" xfId="0" applyFont="1" applyBorder="1" applyAlignment="1" applyProtection="1">
      <alignment vertical="center" wrapText="1"/>
      <protection hidden="1"/>
    </xf>
    <xf numFmtId="178" fontId="51" fillId="0" borderId="0" xfId="0" applyNumberFormat="1" applyFont="1" applyFill="1" applyBorder="1" applyAlignment="1" applyProtection="1">
      <alignment vertical="center" shrinkToFit="1"/>
      <protection hidden="1"/>
    </xf>
    <xf numFmtId="0" fontId="68" fillId="0" borderId="0" xfId="0" applyFont="1" applyFill="1" applyAlignment="1" applyProtection="1">
      <alignment horizontal="left" vertical="center"/>
    </xf>
    <xf numFmtId="0" fontId="47" fillId="0" borderId="0" xfId="0" applyFont="1" applyAlignment="1" applyProtection="1">
      <alignment vertical="top" wrapText="1"/>
    </xf>
    <xf numFmtId="0" fontId="47" fillId="8" borderId="11" xfId="0" applyFont="1" applyFill="1" applyBorder="1"/>
    <xf numFmtId="0" fontId="47" fillId="8" borderId="15" xfId="0" applyFont="1" applyFill="1" applyBorder="1"/>
    <xf numFmtId="0" fontId="47" fillId="8" borderId="10" xfId="0" applyFont="1" applyFill="1" applyBorder="1"/>
    <xf numFmtId="0" fontId="47" fillId="8" borderId="1" xfId="0" applyFont="1" applyFill="1" applyBorder="1" applyAlignment="1" applyProtection="1">
      <alignment horizontal="left" vertical="center"/>
    </xf>
    <xf numFmtId="0" fontId="47" fillId="8" borderId="0" xfId="0" applyFont="1" applyFill="1" applyAlignment="1">
      <alignment horizontal="center"/>
    </xf>
    <xf numFmtId="0" fontId="47" fillId="8" borderId="1" xfId="0" applyFont="1" applyFill="1" applyBorder="1" applyAlignment="1">
      <alignment horizontal="left"/>
    </xf>
    <xf numFmtId="0" fontId="51" fillId="2" borderId="11" xfId="0" applyFont="1" applyFill="1" applyBorder="1" applyAlignment="1" applyProtection="1">
      <alignment horizontal="center" vertical="center"/>
      <protection hidden="1"/>
    </xf>
    <xf numFmtId="0" fontId="0" fillId="0" borderId="22" xfId="0" applyFill="1" applyBorder="1" applyProtection="1">
      <protection hidden="1"/>
    </xf>
    <xf numFmtId="180" fontId="12" fillId="0" borderId="0" xfId="0" applyNumberFormat="1" applyFont="1" applyBorder="1" applyAlignment="1" applyProtection="1">
      <alignment horizontal="center" vertical="center" shrinkToFit="1"/>
      <protection hidden="1"/>
    </xf>
    <xf numFmtId="184" fontId="3" fillId="0" borderId="0" xfId="0" applyNumberFormat="1" applyFont="1" applyBorder="1" applyAlignment="1" applyProtection="1">
      <alignment horizontal="right" vertical="center" shrinkToFit="1"/>
      <protection hidden="1"/>
    </xf>
    <xf numFmtId="184" fontId="12" fillId="0" borderId="0" xfId="0" applyNumberFormat="1" applyFont="1" applyBorder="1" applyAlignment="1" applyProtection="1">
      <alignment vertical="center" wrapText="1"/>
      <protection hidden="1"/>
    </xf>
    <xf numFmtId="180" fontId="3" fillId="0" borderId="14" xfId="0" applyNumberFormat="1" applyFont="1" applyBorder="1" applyAlignment="1" applyProtection="1">
      <alignment horizontal="center" vertical="center" shrinkToFit="1"/>
      <protection hidden="1"/>
    </xf>
    <xf numFmtId="180" fontId="3" fillId="0" borderId="9" xfId="0" applyNumberFormat="1" applyFont="1" applyBorder="1" applyAlignment="1" applyProtection="1">
      <alignment horizontal="center" vertical="center" shrinkToFit="1"/>
      <protection hidden="1"/>
    </xf>
    <xf numFmtId="0" fontId="34" fillId="0" borderId="30" xfId="0" applyFont="1" applyFill="1" applyBorder="1" applyProtection="1">
      <protection hidden="1"/>
    </xf>
    <xf numFmtId="0" fontId="51" fillId="2" borderId="1" xfId="0" applyFont="1" applyFill="1" applyBorder="1" applyAlignment="1" applyProtection="1">
      <alignment horizontal="center" vertical="center"/>
      <protection hidden="1"/>
    </xf>
    <xf numFmtId="0" fontId="51" fillId="0" borderId="0" xfId="0" applyFont="1" applyFill="1" applyAlignment="1" applyProtection="1">
      <alignment horizontal="left" vertical="center" wrapText="1"/>
      <protection hidden="1"/>
    </xf>
    <xf numFmtId="0" fontId="71" fillId="0" borderId="0" xfId="0" applyFont="1" applyFill="1" applyBorder="1" applyAlignment="1" applyProtection="1">
      <alignment horizontal="center" vertical="center" wrapText="1"/>
      <protection hidden="1"/>
    </xf>
    <xf numFmtId="0" fontId="47" fillId="0" borderId="0" xfId="0" applyFont="1" applyAlignment="1">
      <alignment horizontal="right"/>
    </xf>
    <xf numFmtId="184" fontId="12" fillId="0" borderId="26" xfId="0" applyNumberFormat="1" applyFont="1" applyBorder="1" applyAlignment="1" applyProtection="1">
      <alignment vertical="center"/>
      <protection hidden="1"/>
    </xf>
    <xf numFmtId="0" fontId="42" fillId="0" borderId="27" xfId="0" applyFont="1" applyFill="1" applyBorder="1" applyAlignment="1" applyProtection="1">
      <alignment vertical="top" wrapText="1"/>
      <protection hidden="1"/>
    </xf>
    <xf numFmtId="0" fontId="8" fillId="0" borderId="0" xfId="0" applyFont="1" applyFill="1" applyBorder="1" applyAlignment="1" applyProtection="1">
      <alignment wrapText="1" shrinkToFit="1"/>
      <protection hidden="1"/>
    </xf>
    <xf numFmtId="0" fontId="51" fillId="2" borderId="10" xfId="0" applyFont="1" applyFill="1" applyBorder="1" applyAlignment="1" applyProtection="1">
      <alignment horizontal="center" vertical="center"/>
      <protection hidden="1"/>
    </xf>
    <xf numFmtId="0" fontId="51" fillId="2" borderId="1" xfId="0" applyFont="1" applyFill="1" applyBorder="1" applyAlignment="1" applyProtection="1">
      <alignment horizontal="center" vertical="center"/>
      <protection hidden="1"/>
    </xf>
    <xf numFmtId="0" fontId="51" fillId="0" borderId="14" xfId="0" applyFont="1" applyFill="1" applyBorder="1" applyAlignment="1" applyProtection="1">
      <alignment horizontal="center" vertical="center"/>
      <protection hidden="1"/>
    </xf>
    <xf numFmtId="0" fontId="51" fillId="2" borderId="6" xfId="0" applyFont="1" applyFill="1" applyBorder="1" applyAlignment="1" applyProtection="1">
      <alignment horizontal="center" vertical="center"/>
      <protection hidden="1"/>
    </xf>
    <xf numFmtId="0" fontId="51" fillId="0" borderId="12" xfId="0" applyFont="1" applyFill="1" applyBorder="1" applyAlignment="1" applyProtection="1">
      <alignment horizontal="center" vertical="center"/>
      <protection hidden="1"/>
    </xf>
    <xf numFmtId="178" fontId="51" fillId="2" borderId="1" xfId="0" applyNumberFormat="1" applyFont="1" applyFill="1" applyBorder="1" applyAlignment="1" applyProtection="1">
      <alignment vertical="center" shrinkToFit="1"/>
      <protection hidden="1"/>
    </xf>
    <xf numFmtId="184" fontId="6" fillId="0" borderId="14" xfId="0" applyNumberFormat="1" applyFont="1" applyBorder="1" applyAlignment="1" applyProtection="1">
      <alignment horizontal="right" vertical="top" wrapText="1"/>
      <protection hidden="1"/>
    </xf>
    <xf numFmtId="0" fontId="6" fillId="0" borderId="9" xfId="0" applyFont="1" applyBorder="1" applyAlignment="1" applyProtection="1">
      <alignment horizontal="right" vertical="top" wrapText="1"/>
      <protection hidden="1"/>
    </xf>
    <xf numFmtId="0" fontId="47" fillId="8" borderId="64" xfId="0" applyFont="1" applyFill="1" applyBorder="1" applyAlignment="1" applyProtection="1">
      <alignment horizontal="center" vertical="center" shrinkToFit="1"/>
    </xf>
    <xf numFmtId="49" fontId="34" fillId="6" borderId="11" xfId="0" applyNumberFormat="1" applyFont="1" applyFill="1" applyBorder="1" applyAlignment="1" applyProtection="1">
      <alignment horizontal="left" vertical="center" shrinkToFit="1"/>
      <protection locked="0"/>
    </xf>
    <xf numFmtId="49" fontId="34" fillId="6" borderId="15" xfId="0" applyNumberFormat="1" applyFont="1" applyFill="1" applyBorder="1" applyAlignment="1" applyProtection="1">
      <alignment horizontal="left" vertical="center" shrinkToFit="1"/>
      <protection locked="0"/>
    </xf>
    <xf numFmtId="49" fontId="34" fillId="6" borderId="10" xfId="0" applyNumberFormat="1" applyFont="1" applyFill="1" applyBorder="1" applyAlignment="1" applyProtection="1">
      <alignment horizontal="left" vertical="center" shrinkToFit="1"/>
      <protection locked="0"/>
    </xf>
    <xf numFmtId="0" fontId="56" fillId="8" borderId="0" xfId="3" applyFont="1" applyFill="1" applyAlignment="1" applyProtection="1">
      <alignment horizontal="left" vertical="center"/>
      <protection hidden="1"/>
    </xf>
    <xf numFmtId="0" fontId="49" fillId="4" borderId="0" xfId="0" applyFont="1" applyFill="1" applyAlignment="1" applyProtection="1">
      <alignment horizontal="right"/>
      <protection hidden="1"/>
    </xf>
    <xf numFmtId="0" fontId="51" fillId="0" borderId="0" xfId="0" applyFont="1" applyAlignment="1" applyProtection="1">
      <alignment horizontal="left"/>
      <protection hidden="1"/>
    </xf>
    <xf numFmtId="0" fontId="34" fillId="6" borderId="1" xfId="0" applyFont="1" applyFill="1" applyBorder="1" applyAlignment="1" applyProtection="1">
      <alignment horizontal="center" vertical="center" shrinkToFit="1"/>
      <protection locked="0"/>
    </xf>
    <xf numFmtId="0" fontId="51" fillId="6" borderId="1" xfId="0" applyFont="1" applyFill="1" applyBorder="1" applyAlignment="1" applyProtection="1">
      <alignment horizontal="center" vertical="center" shrinkToFit="1"/>
      <protection locked="0"/>
    </xf>
    <xf numFmtId="0" fontId="51" fillId="6" borderId="1" xfId="0" applyFont="1" applyFill="1" applyBorder="1" applyAlignment="1" applyProtection="1">
      <alignment horizontal="left" vertical="center" shrinkToFit="1"/>
      <protection locked="0"/>
    </xf>
    <xf numFmtId="0" fontId="56" fillId="8" borderId="0" xfId="3" applyFont="1" applyFill="1" applyAlignment="1" applyProtection="1">
      <alignment horizontal="left"/>
      <protection hidden="1"/>
    </xf>
    <xf numFmtId="177" fontId="51" fillId="6" borderId="11" xfId="0" applyNumberFormat="1" applyFont="1" applyFill="1" applyBorder="1" applyAlignment="1" applyProtection="1">
      <alignment horizontal="right" vertical="center"/>
      <protection locked="0"/>
    </xf>
    <xf numFmtId="177" fontId="51" fillId="6" borderId="10" xfId="0" applyNumberFormat="1" applyFont="1" applyFill="1" applyBorder="1" applyAlignment="1" applyProtection="1">
      <alignment horizontal="right" vertical="center"/>
      <protection locked="0"/>
    </xf>
    <xf numFmtId="0" fontId="51" fillId="2" borderId="1" xfId="0" applyFont="1" applyFill="1" applyBorder="1" applyAlignment="1" applyProtection="1">
      <alignment horizontal="center" vertical="center"/>
      <protection hidden="1"/>
    </xf>
    <xf numFmtId="177" fontId="51" fillId="6" borderId="1" xfId="0" applyNumberFormat="1" applyFont="1" applyFill="1" applyBorder="1" applyAlignment="1" applyProtection="1">
      <alignment horizontal="right" vertical="center"/>
      <protection locked="0"/>
    </xf>
    <xf numFmtId="177" fontId="51" fillId="0" borderId="0" xfId="0" applyNumberFormat="1" applyFont="1" applyFill="1" applyBorder="1" applyAlignment="1" applyProtection="1">
      <alignment horizontal="right" vertical="center"/>
      <protection hidden="1"/>
    </xf>
    <xf numFmtId="0" fontId="51" fillId="2" borderId="11" xfId="0" applyFont="1" applyFill="1" applyBorder="1" applyAlignment="1" applyProtection="1">
      <alignment horizontal="center" vertical="center"/>
      <protection hidden="1"/>
    </xf>
    <xf numFmtId="0" fontId="51" fillId="2" borderId="10" xfId="0" applyFont="1" applyFill="1" applyBorder="1" applyAlignment="1" applyProtection="1">
      <alignment horizontal="center" vertical="center"/>
      <protection hidden="1"/>
    </xf>
    <xf numFmtId="177" fontId="51" fillId="2" borderId="11" xfId="0" applyNumberFormat="1" applyFont="1" applyFill="1" applyBorder="1" applyAlignment="1" applyProtection="1">
      <alignment horizontal="right" vertical="center"/>
      <protection hidden="1"/>
    </xf>
    <xf numFmtId="177" fontId="51" fillId="2" borderId="10" xfId="0" applyNumberFormat="1" applyFont="1" applyFill="1" applyBorder="1" applyAlignment="1" applyProtection="1">
      <alignment horizontal="right" vertical="center"/>
      <protection hidden="1"/>
    </xf>
    <xf numFmtId="0" fontId="51" fillId="6" borderId="4" xfId="0" applyFont="1" applyFill="1" applyBorder="1" applyAlignment="1" applyProtection="1">
      <alignment horizontal="center" vertical="center" shrinkToFit="1"/>
      <protection locked="0"/>
    </xf>
    <xf numFmtId="0" fontId="51" fillId="2" borderId="1" xfId="0" applyFont="1" applyFill="1" applyBorder="1" applyAlignment="1" applyProtection="1">
      <alignment horizontal="center" vertical="center" shrinkToFit="1"/>
      <protection hidden="1"/>
    </xf>
    <xf numFmtId="0" fontId="51" fillId="0" borderId="0" xfId="0" applyFont="1" applyAlignment="1" applyProtection="1">
      <alignment horizontal="left" vertical="top" wrapText="1"/>
      <protection hidden="1"/>
    </xf>
    <xf numFmtId="0" fontId="51" fillId="6" borderId="1" xfId="0" applyFont="1" applyFill="1" applyBorder="1" applyAlignment="1" applyProtection="1">
      <alignment horizontal="center" vertical="center"/>
      <protection locked="0"/>
    </xf>
    <xf numFmtId="0" fontId="51" fillId="6" borderId="11" xfId="0" applyFont="1" applyFill="1" applyBorder="1" applyAlignment="1" applyProtection="1">
      <alignment horizontal="center" vertical="center"/>
      <protection locked="0"/>
    </xf>
    <xf numFmtId="0" fontId="51" fillId="6" borderId="15" xfId="0" applyFont="1" applyFill="1" applyBorder="1" applyAlignment="1" applyProtection="1">
      <alignment horizontal="center" vertical="center"/>
      <protection locked="0"/>
    </xf>
    <xf numFmtId="0" fontId="51" fillId="6" borderId="10" xfId="0" applyFont="1" applyFill="1" applyBorder="1" applyAlignment="1" applyProtection="1">
      <alignment horizontal="center" vertical="center"/>
      <protection locked="0"/>
    </xf>
    <xf numFmtId="0" fontId="51" fillId="2" borderId="15" xfId="0" applyFont="1" applyFill="1" applyBorder="1" applyAlignment="1" applyProtection="1">
      <alignment horizontal="center" vertical="center"/>
      <protection hidden="1"/>
    </xf>
    <xf numFmtId="0" fontId="56" fillId="8" borderId="0" xfId="3" applyFont="1" applyFill="1" applyProtection="1">
      <protection hidden="1"/>
    </xf>
    <xf numFmtId="0" fontId="51" fillId="0" borderId="8" xfId="0" applyFont="1" applyBorder="1" applyAlignment="1" applyProtection="1">
      <alignment horizontal="left" vertical="center" wrapText="1"/>
      <protection hidden="1"/>
    </xf>
    <xf numFmtId="0" fontId="51" fillId="0" borderId="14" xfId="0" applyFont="1" applyBorder="1" applyAlignment="1" applyProtection="1">
      <alignment horizontal="left" vertical="center" wrapText="1"/>
      <protection hidden="1"/>
    </xf>
    <xf numFmtId="0" fontId="51" fillId="0" borderId="9" xfId="0" applyFont="1" applyBorder="1" applyAlignment="1" applyProtection="1">
      <alignment horizontal="left" vertical="center" wrapText="1"/>
      <protection hidden="1"/>
    </xf>
    <xf numFmtId="0" fontId="51" fillId="0" borderId="3" xfId="0" applyFont="1" applyBorder="1" applyAlignment="1" applyProtection="1">
      <alignment horizontal="left" vertical="center" wrapText="1"/>
      <protection hidden="1"/>
    </xf>
    <xf numFmtId="0" fontId="51" fillId="0" borderId="0" xfId="0" applyFont="1" applyBorder="1" applyAlignment="1" applyProtection="1">
      <alignment horizontal="left" vertical="center" wrapText="1"/>
      <protection hidden="1"/>
    </xf>
    <xf numFmtId="0" fontId="51" fillId="0" borderId="2" xfId="0" applyFont="1" applyBorder="1" applyAlignment="1" applyProtection="1">
      <alignment horizontal="left" vertical="center" wrapText="1"/>
      <protection hidden="1"/>
    </xf>
    <xf numFmtId="0" fontId="51" fillId="0" borderId="5" xfId="0" applyFont="1" applyBorder="1" applyAlignment="1" applyProtection="1">
      <alignment horizontal="left" vertical="center" wrapText="1"/>
      <protection hidden="1"/>
    </xf>
    <xf numFmtId="0" fontId="51" fillId="0" borderId="12" xfId="0" applyFont="1" applyBorder="1" applyAlignment="1" applyProtection="1">
      <alignment horizontal="left" vertical="center" wrapText="1"/>
      <protection hidden="1"/>
    </xf>
    <xf numFmtId="0" fontId="51" fillId="0" borderId="6" xfId="0" applyFont="1" applyBorder="1" applyAlignment="1" applyProtection="1">
      <alignment horizontal="left" vertical="center" wrapText="1"/>
      <protection hidden="1"/>
    </xf>
    <xf numFmtId="0" fontId="51" fillId="2" borderId="4" xfId="0" applyFont="1" applyFill="1" applyBorder="1" applyAlignment="1" applyProtection="1">
      <alignment horizontal="center" vertical="center"/>
      <protection hidden="1"/>
    </xf>
    <xf numFmtId="0" fontId="51" fillId="2" borderId="7" xfId="0" applyFont="1" applyFill="1" applyBorder="1" applyAlignment="1" applyProtection="1">
      <alignment horizontal="center" vertical="center"/>
      <protection hidden="1"/>
    </xf>
    <xf numFmtId="0" fontId="51" fillId="2" borderId="11" xfId="0" applyFont="1" applyFill="1" applyBorder="1" applyAlignment="1" applyProtection="1">
      <alignment horizontal="center"/>
      <protection hidden="1"/>
    </xf>
    <xf numFmtId="0" fontId="51" fillId="2" borderId="10" xfId="0" applyFont="1" applyFill="1" applyBorder="1" applyAlignment="1" applyProtection="1">
      <alignment horizontal="center"/>
      <protection hidden="1"/>
    </xf>
    <xf numFmtId="0" fontId="51" fillId="6" borderId="1" xfId="0" applyFont="1" applyFill="1" applyBorder="1" applyAlignment="1" applyProtection="1">
      <alignment horizontal="center"/>
      <protection locked="0"/>
    </xf>
    <xf numFmtId="0" fontId="51" fillId="2" borderId="1" xfId="0" applyFont="1" applyFill="1" applyBorder="1" applyAlignment="1" applyProtection="1">
      <alignment horizontal="center"/>
      <protection hidden="1"/>
    </xf>
    <xf numFmtId="0" fontId="71" fillId="0" borderId="14" xfId="0" applyFont="1" applyFill="1" applyBorder="1" applyAlignment="1" applyProtection="1">
      <alignment horizontal="center" vertical="center"/>
      <protection locked="0"/>
    </xf>
    <xf numFmtId="0" fontId="54" fillId="0" borderId="0" xfId="0" applyFont="1" applyBorder="1" applyAlignment="1" applyProtection="1">
      <alignment horizontal="left" vertical="center" shrinkToFit="1"/>
      <protection hidden="1"/>
    </xf>
    <xf numFmtId="0" fontId="34" fillId="6" borderId="1" xfId="0" applyFont="1" applyFill="1" applyBorder="1" applyAlignment="1" applyProtection="1">
      <alignment horizontal="center" vertical="center"/>
      <protection locked="0"/>
    </xf>
    <xf numFmtId="0" fontId="51" fillId="6" borderId="11" xfId="0" applyNumberFormat="1" applyFont="1" applyFill="1" applyBorder="1" applyAlignment="1" applyProtection="1">
      <alignment horizontal="center" vertical="center" wrapText="1"/>
      <protection locked="0"/>
    </xf>
    <xf numFmtId="0" fontId="51" fillId="6" borderId="15" xfId="0" applyNumberFormat="1" applyFont="1" applyFill="1" applyBorder="1" applyAlignment="1" applyProtection="1">
      <alignment horizontal="center" vertical="center" wrapText="1"/>
      <protection locked="0"/>
    </xf>
    <xf numFmtId="0" fontId="51" fillId="0" borderId="12" xfId="0" applyFont="1" applyFill="1" applyBorder="1" applyAlignment="1" applyProtection="1">
      <alignment horizontal="left" vertical="top" wrapText="1"/>
      <protection hidden="1"/>
    </xf>
    <xf numFmtId="0" fontId="54" fillId="0" borderId="12" xfId="0" applyFont="1" applyBorder="1" applyAlignment="1" applyProtection="1">
      <alignment horizontal="left" vertical="center"/>
      <protection hidden="1"/>
    </xf>
    <xf numFmtId="0" fontId="51" fillId="0" borderId="0" xfId="0" applyFont="1" applyFill="1" applyBorder="1" applyAlignment="1" applyProtection="1">
      <alignment horizontal="left" vertical="top" wrapText="1"/>
      <protection hidden="1"/>
    </xf>
    <xf numFmtId="0" fontId="74" fillId="0" borderId="14" xfId="0" applyFont="1" applyFill="1" applyBorder="1" applyAlignment="1" applyProtection="1">
      <alignment horizontal="left" vertical="center"/>
      <protection locked="0"/>
    </xf>
    <xf numFmtId="0" fontId="51" fillId="2" borderId="1" xfId="0" applyFont="1" applyFill="1" applyBorder="1" applyAlignment="1" applyProtection="1">
      <alignment horizontal="center" vertical="center" wrapText="1"/>
      <protection hidden="1"/>
    </xf>
    <xf numFmtId="0" fontId="51" fillId="6" borderId="10" xfId="0" applyNumberFormat="1" applyFont="1" applyFill="1" applyBorder="1" applyAlignment="1" applyProtection="1">
      <alignment horizontal="center" vertical="center" wrapText="1"/>
      <protection locked="0"/>
    </xf>
    <xf numFmtId="0" fontId="71" fillId="0" borderId="0" xfId="0" applyFont="1" applyFill="1" applyBorder="1" applyAlignment="1" applyProtection="1">
      <alignment horizontal="center" vertical="center"/>
      <protection locked="0"/>
    </xf>
    <xf numFmtId="0" fontId="51" fillId="0" borderId="0" xfId="0" applyFont="1" applyFill="1" applyAlignment="1" applyProtection="1">
      <alignment horizontal="left" vertical="top" wrapText="1"/>
      <protection hidden="1"/>
    </xf>
    <xf numFmtId="0" fontId="54" fillId="0" borderId="0" xfId="0" applyFont="1" applyAlignment="1" applyProtection="1">
      <alignment horizontal="left" vertical="center"/>
      <protection hidden="1"/>
    </xf>
    <xf numFmtId="0" fontId="51" fillId="2" borderId="4" xfId="0" applyFont="1" applyFill="1" applyBorder="1" applyAlignment="1" applyProtection="1">
      <alignment horizontal="center" vertical="center" wrapText="1"/>
      <protection hidden="1"/>
    </xf>
    <xf numFmtId="0" fontId="51" fillId="2" borderId="7" xfId="0" applyFont="1" applyFill="1" applyBorder="1" applyAlignment="1" applyProtection="1">
      <alignment horizontal="center" vertical="center" wrapText="1"/>
      <protection hidden="1"/>
    </xf>
    <xf numFmtId="0" fontId="74" fillId="0" borderId="0" xfId="0" applyFont="1" applyFill="1" applyBorder="1" applyAlignment="1" applyProtection="1">
      <alignment horizontal="center" vertical="center"/>
      <protection locked="0"/>
    </xf>
    <xf numFmtId="0" fontId="51" fillId="6" borderId="1" xfId="0" applyNumberFormat="1" applyFont="1" applyFill="1" applyBorder="1" applyAlignment="1" applyProtection="1">
      <alignment horizontal="center" vertical="center" wrapText="1"/>
      <protection locked="0"/>
    </xf>
    <xf numFmtId="0" fontId="51" fillId="7" borderId="0" xfId="0" applyFont="1" applyFill="1" applyBorder="1" applyAlignment="1" applyProtection="1">
      <alignment horizontal="left" vertical="top" wrapText="1"/>
      <protection hidden="1"/>
    </xf>
    <xf numFmtId="0" fontId="51" fillId="0" borderId="0" xfId="0" applyFont="1" applyAlignment="1" applyProtection="1">
      <alignment horizontal="left" vertical="center"/>
      <protection hidden="1"/>
    </xf>
    <xf numFmtId="0" fontId="51" fillId="6" borderId="11" xfId="0" applyFont="1" applyFill="1" applyBorder="1" applyAlignment="1" applyProtection="1">
      <alignment horizontal="center" vertical="center" shrinkToFit="1"/>
      <protection locked="0"/>
    </xf>
    <xf numFmtId="0" fontId="51" fillId="6" borderId="10" xfId="0" applyFont="1" applyFill="1" applyBorder="1" applyAlignment="1" applyProtection="1">
      <alignment horizontal="center" vertical="center" shrinkToFit="1"/>
      <protection locked="0"/>
    </xf>
    <xf numFmtId="0" fontId="51" fillId="0" borderId="0" xfId="0" applyFont="1" applyFill="1" applyBorder="1" applyAlignment="1" applyProtection="1">
      <alignment horizontal="left" vertical="center"/>
      <protection hidden="1"/>
    </xf>
    <xf numFmtId="0" fontId="58" fillId="0" borderId="0" xfId="0" applyFont="1" applyFill="1" applyBorder="1" applyAlignment="1" applyProtection="1">
      <alignment horizontal="left" vertical="center"/>
      <protection hidden="1"/>
    </xf>
    <xf numFmtId="0" fontId="49" fillId="6" borderId="11" xfId="0" applyFont="1" applyFill="1" applyBorder="1" applyAlignment="1" applyProtection="1">
      <alignment horizontal="center" vertical="center"/>
      <protection locked="0"/>
    </xf>
    <xf numFmtId="0" fontId="49" fillId="6" borderId="15" xfId="0" applyFont="1" applyFill="1" applyBorder="1" applyAlignment="1" applyProtection="1">
      <alignment horizontal="center" vertical="center"/>
      <protection locked="0"/>
    </xf>
    <xf numFmtId="0" fontId="49" fillId="6" borderId="10" xfId="0" applyFont="1" applyFill="1" applyBorder="1" applyAlignment="1" applyProtection="1">
      <alignment horizontal="center" vertical="center"/>
      <protection locked="0"/>
    </xf>
    <xf numFmtId="0" fontId="49" fillId="7" borderId="0" xfId="0" applyFont="1" applyFill="1" applyAlignment="1" applyProtection="1">
      <alignment horizontal="left" vertical="center" wrapText="1"/>
      <protection hidden="1"/>
    </xf>
    <xf numFmtId="0" fontId="49" fillId="7" borderId="0" xfId="0" applyFont="1" applyFill="1" applyAlignment="1" applyProtection="1">
      <alignment horizontal="left" vertical="center"/>
      <protection hidden="1"/>
    </xf>
    <xf numFmtId="0" fontId="57" fillId="0" borderId="0" xfId="0" applyFont="1" applyFill="1" applyAlignment="1" applyProtection="1">
      <alignment horizontal="center" vertical="center" wrapText="1"/>
      <protection hidden="1"/>
    </xf>
    <xf numFmtId="0" fontId="47" fillId="0" borderId="14" xfId="0" applyFont="1" applyFill="1" applyBorder="1" applyAlignment="1" applyProtection="1">
      <alignment horizontal="right" vertical="center" wrapText="1"/>
      <protection hidden="1"/>
    </xf>
    <xf numFmtId="0" fontId="47" fillId="0" borderId="0" xfId="0" applyFont="1" applyFill="1" applyAlignment="1" applyProtection="1">
      <alignment horizontal="right" vertical="center" wrapText="1"/>
      <protection hidden="1"/>
    </xf>
    <xf numFmtId="0" fontId="77" fillId="0" borderId="14" xfId="3" applyFont="1" applyFill="1" applyBorder="1" applyAlignment="1" applyProtection="1">
      <alignment horizontal="left" vertical="center" wrapText="1"/>
      <protection hidden="1"/>
    </xf>
    <xf numFmtId="0" fontId="77" fillId="0" borderId="0" xfId="3" applyFont="1" applyFill="1" applyAlignment="1" applyProtection="1">
      <alignment horizontal="left" vertical="center" wrapText="1"/>
      <protection hidden="1"/>
    </xf>
    <xf numFmtId="0" fontId="47" fillId="0" borderId="14" xfId="3" applyFont="1" applyFill="1" applyBorder="1" applyAlignment="1" applyProtection="1">
      <alignment horizontal="left" vertical="center" wrapText="1"/>
      <protection hidden="1"/>
    </xf>
    <xf numFmtId="0" fontId="47" fillId="0" borderId="0" xfId="3" applyFont="1" applyFill="1" applyBorder="1" applyAlignment="1" applyProtection="1">
      <alignment horizontal="left" vertical="center" wrapText="1"/>
      <protection hidden="1"/>
    </xf>
    <xf numFmtId="178" fontId="51" fillId="6" borderId="11" xfId="0" applyNumberFormat="1" applyFont="1" applyFill="1" applyBorder="1" applyAlignment="1" applyProtection="1">
      <alignment horizontal="right" vertical="center"/>
      <protection locked="0"/>
    </xf>
    <xf numFmtId="178" fontId="51" fillId="6" borderId="15" xfId="0" applyNumberFormat="1" applyFont="1" applyFill="1" applyBorder="1" applyAlignment="1" applyProtection="1">
      <alignment horizontal="right" vertical="center"/>
      <protection locked="0"/>
    </xf>
    <xf numFmtId="178" fontId="51" fillId="2" borderId="15" xfId="0" applyNumberFormat="1" applyFont="1" applyFill="1" applyBorder="1" applyAlignment="1" applyProtection="1">
      <alignment horizontal="right" vertical="center"/>
      <protection hidden="1"/>
    </xf>
    <xf numFmtId="178" fontId="51" fillId="6" borderId="8" xfId="0" applyNumberFormat="1" applyFont="1" applyFill="1" applyBorder="1" applyAlignment="1" applyProtection="1">
      <alignment horizontal="right" vertical="center"/>
      <protection locked="0"/>
    </xf>
    <xf numFmtId="178" fontId="51" fillId="6" borderId="14" xfId="0" applyNumberFormat="1" applyFont="1" applyFill="1" applyBorder="1" applyAlignment="1" applyProtection="1">
      <alignment horizontal="right" vertical="center"/>
      <protection locked="0"/>
    </xf>
    <xf numFmtId="178" fontId="51" fillId="6" borderId="5" xfId="0" applyNumberFormat="1" applyFont="1" applyFill="1" applyBorder="1" applyAlignment="1" applyProtection="1">
      <alignment horizontal="right" vertical="center"/>
      <protection locked="0"/>
    </xf>
    <xf numFmtId="178" fontId="51" fillId="6" borderId="12" xfId="0" applyNumberFormat="1" applyFont="1" applyFill="1" applyBorder="1" applyAlignment="1" applyProtection="1">
      <alignment horizontal="right" vertical="center"/>
      <protection locked="0"/>
    </xf>
    <xf numFmtId="178" fontId="51" fillId="2" borderId="9" xfId="0" applyNumberFormat="1" applyFont="1" applyFill="1" applyBorder="1" applyAlignment="1" applyProtection="1">
      <alignment horizontal="center" vertical="center"/>
      <protection hidden="1"/>
    </xf>
    <xf numFmtId="178" fontId="51" fillId="2" borderId="6" xfId="0" applyNumberFormat="1"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59"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wrapText="1"/>
      <protection hidden="1"/>
    </xf>
    <xf numFmtId="0" fontId="6" fillId="0" borderId="23" xfId="0" applyFont="1" applyFill="1" applyBorder="1" applyAlignment="1" applyProtection="1">
      <alignment horizontal="center" wrapText="1"/>
      <protection hidden="1"/>
    </xf>
    <xf numFmtId="0" fontId="6" fillId="0" borderId="63" xfId="0" applyFont="1" applyFill="1" applyBorder="1" applyAlignment="1" applyProtection="1">
      <alignment horizontal="center" wrapText="1"/>
      <protection hidden="1"/>
    </xf>
    <xf numFmtId="0" fontId="3" fillId="0" borderId="21"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13" fillId="0" borderId="8" xfId="0" applyFont="1" applyFill="1" applyBorder="1" applyAlignment="1" applyProtection="1">
      <alignment horizontal="center" wrapText="1"/>
      <protection hidden="1"/>
    </xf>
    <xf numFmtId="0" fontId="13" fillId="0" borderId="14" xfId="0" applyFont="1" applyFill="1" applyBorder="1" applyAlignment="1" applyProtection="1">
      <alignment horizontal="center" wrapText="1"/>
      <protection hidden="1"/>
    </xf>
    <xf numFmtId="0" fontId="13" fillId="0" borderId="107" xfId="0" applyFont="1" applyFill="1" applyBorder="1" applyAlignment="1" applyProtection="1">
      <alignment horizontal="center" wrapText="1"/>
      <protection hidden="1"/>
    </xf>
    <xf numFmtId="0" fontId="13" fillId="0" borderId="66" xfId="0" applyFont="1" applyFill="1" applyBorder="1" applyAlignment="1" applyProtection="1">
      <alignment horizontal="center" wrapText="1"/>
      <protection hidden="1"/>
    </xf>
    <xf numFmtId="0" fontId="13" fillId="0" borderId="22" xfId="0" applyFont="1" applyFill="1" applyBorder="1" applyAlignment="1" applyProtection="1">
      <alignment horizontal="center" vertical="top" wrapText="1"/>
      <protection hidden="1"/>
    </xf>
    <xf numFmtId="0" fontId="13" fillId="0" borderId="28" xfId="0" applyFont="1" applyFill="1" applyBorder="1" applyAlignment="1" applyProtection="1">
      <alignment horizontal="center" vertical="top" wrapText="1"/>
      <protection hidden="1"/>
    </xf>
    <xf numFmtId="0" fontId="13" fillId="0" borderId="29" xfId="0" applyFont="1" applyFill="1" applyBorder="1" applyAlignment="1" applyProtection="1">
      <alignment horizontal="center" vertical="top" wrapText="1"/>
      <protection hidden="1"/>
    </xf>
    <xf numFmtId="0" fontId="13" fillId="0" borderId="11" xfId="0" applyFont="1" applyFill="1" applyBorder="1" applyAlignment="1" applyProtection="1">
      <alignment horizontal="center" wrapText="1"/>
      <protection hidden="1"/>
    </xf>
    <xf numFmtId="0" fontId="13" fillId="0" borderId="15" xfId="0" applyFont="1" applyFill="1" applyBorder="1" applyAlignment="1" applyProtection="1">
      <alignment horizontal="center" wrapText="1"/>
      <protection hidden="1"/>
    </xf>
    <xf numFmtId="0" fontId="13" fillId="0" borderId="10" xfId="0" applyFont="1" applyFill="1" applyBorder="1" applyAlignment="1" applyProtection="1">
      <alignment horizontal="center" wrapText="1"/>
      <protection hidden="1"/>
    </xf>
    <xf numFmtId="0" fontId="25" fillId="0" borderId="11" xfId="0" applyFont="1" applyBorder="1" applyAlignment="1" applyProtection="1">
      <alignment horizontal="center" vertical="center" wrapText="1"/>
      <protection hidden="1"/>
    </xf>
    <xf numFmtId="0" fontId="25" fillId="0" borderId="15"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8" fillId="0" borderId="12" xfId="0" applyFont="1" applyFill="1" applyBorder="1" applyAlignment="1" applyProtection="1">
      <alignment horizontal="left" wrapText="1"/>
      <protection hidden="1"/>
    </xf>
    <xf numFmtId="0" fontId="6" fillId="0" borderId="11"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176" fontId="6" fillId="0" borderId="11" xfId="0" applyNumberFormat="1" applyFont="1" applyFill="1" applyBorder="1" applyAlignment="1" applyProtection="1">
      <alignment horizontal="center" vertical="center" wrapText="1"/>
      <protection hidden="1"/>
    </xf>
    <xf numFmtId="176" fontId="6" fillId="0" borderId="10" xfId="0" applyNumberFormat="1" applyFont="1" applyFill="1" applyBorder="1" applyAlignment="1" applyProtection="1">
      <alignment horizontal="center" vertical="center" wrapText="1"/>
      <protection hidden="1"/>
    </xf>
    <xf numFmtId="184" fontId="3" fillId="0" borderId="25" xfId="0" applyNumberFormat="1" applyFont="1" applyBorder="1" applyAlignment="1" applyProtection="1">
      <alignment horizontal="center" vertical="center" shrinkToFit="1"/>
      <protection hidden="1"/>
    </xf>
    <xf numFmtId="184" fontId="3" fillId="0" borderId="26" xfId="0" applyNumberFormat="1" applyFont="1" applyBorder="1" applyAlignment="1" applyProtection="1">
      <alignment horizontal="center" vertical="center" shrinkToFit="1"/>
      <protection hidden="1"/>
    </xf>
    <xf numFmtId="184" fontId="3" fillId="0" borderId="22" xfId="0" applyNumberFormat="1" applyFont="1" applyBorder="1" applyAlignment="1" applyProtection="1">
      <alignment horizontal="center" vertical="center" shrinkToFit="1"/>
      <protection hidden="1"/>
    </xf>
    <xf numFmtId="184" fontId="3" fillId="0" borderId="28" xfId="0" applyNumberFormat="1" applyFont="1" applyBorder="1" applyAlignment="1" applyProtection="1">
      <alignment horizontal="center" vertical="center" shrinkToFit="1"/>
      <protection hidden="1"/>
    </xf>
    <xf numFmtId="183" fontId="3" fillId="0" borderId="23" xfId="0" applyNumberFormat="1" applyFont="1" applyBorder="1" applyAlignment="1" applyProtection="1">
      <alignment horizontal="right" vertical="center" shrinkToFit="1"/>
      <protection hidden="1"/>
    </xf>
    <xf numFmtId="184" fontId="3" fillId="0" borderId="8" xfId="0" applyNumberFormat="1" applyFont="1" applyBorder="1" applyAlignment="1" applyProtection="1">
      <alignment horizontal="center" vertical="center" shrinkToFit="1"/>
      <protection hidden="1"/>
    </xf>
    <xf numFmtId="184" fontId="3" fillId="0" borderId="14" xfId="0" applyNumberFormat="1" applyFont="1" applyBorder="1" applyAlignment="1" applyProtection="1">
      <alignment horizontal="center" vertical="center" shrinkToFit="1"/>
      <protection hidden="1"/>
    </xf>
    <xf numFmtId="0" fontId="6" fillId="0" borderId="4"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176" fontId="6" fillId="0" borderId="11" xfId="0" applyNumberFormat="1" applyFont="1" applyFill="1" applyBorder="1" applyAlignment="1" applyProtection="1">
      <alignment horizontal="center" vertical="center" shrinkToFit="1"/>
      <protection hidden="1"/>
    </xf>
    <xf numFmtId="176" fontId="6" fillId="0" borderId="10" xfId="0" applyNumberFormat="1" applyFont="1" applyFill="1" applyBorder="1" applyAlignment="1" applyProtection="1">
      <alignment horizontal="center" vertical="center" shrinkToFit="1"/>
      <protection hidden="1"/>
    </xf>
    <xf numFmtId="0" fontId="8" fillId="0" borderId="12" xfId="0" applyFont="1" applyBorder="1" applyAlignment="1" applyProtection="1">
      <alignment horizontal="left" wrapText="1"/>
      <protection hidden="1"/>
    </xf>
    <xf numFmtId="180" fontId="12" fillId="0" borderId="22" xfId="0" applyNumberFormat="1" applyFont="1" applyBorder="1" applyAlignment="1" applyProtection="1">
      <alignment horizontal="center" vertical="center" shrinkToFit="1"/>
      <protection hidden="1"/>
    </xf>
    <xf numFmtId="180" fontId="12" fillId="0" borderId="28" xfId="0" applyNumberFormat="1" applyFont="1" applyBorder="1" applyAlignment="1" applyProtection="1">
      <alignment horizontal="center" vertical="center" shrinkToFit="1"/>
      <protection hidden="1"/>
    </xf>
    <xf numFmtId="180" fontId="12" fillId="0" borderId="29" xfId="0" applyNumberFormat="1" applyFont="1" applyBorder="1" applyAlignment="1" applyProtection="1">
      <alignment horizontal="center" vertical="center" shrinkToFit="1"/>
      <protection hidden="1"/>
    </xf>
    <xf numFmtId="0" fontId="12" fillId="0" borderId="46"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0" fontId="12" fillId="0" borderId="29" xfId="0" applyFont="1" applyFill="1" applyBorder="1" applyAlignment="1" applyProtection="1">
      <alignment horizontal="center" vertical="center" wrapText="1"/>
      <protection hidden="1"/>
    </xf>
    <xf numFmtId="0" fontId="12" fillId="0" borderId="15" xfId="0" applyNumberFormat="1" applyFont="1" applyFill="1" applyBorder="1" applyAlignment="1" applyProtection="1">
      <alignment horizontal="right" vertical="center" wrapText="1"/>
      <protection hidden="1"/>
    </xf>
    <xf numFmtId="183" fontId="13" fillId="0" borderId="69" xfId="0" applyNumberFormat="1" applyFont="1" applyFill="1" applyBorder="1" applyAlignment="1" applyProtection="1">
      <alignment horizontal="right" vertical="center" wrapText="1"/>
      <protection hidden="1"/>
    </xf>
    <xf numFmtId="183" fontId="13" fillId="0" borderId="15" xfId="0" applyNumberFormat="1" applyFont="1" applyFill="1" applyBorder="1" applyAlignment="1" applyProtection="1">
      <alignment horizontal="right" vertical="center" wrapText="1"/>
      <protection hidden="1"/>
    </xf>
    <xf numFmtId="183" fontId="13" fillId="0" borderId="46" xfId="0" applyNumberFormat="1" applyFont="1" applyFill="1" applyBorder="1" applyAlignment="1" applyProtection="1">
      <alignment horizontal="right" vertical="center" wrapText="1"/>
      <protection hidden="1"/>
    </xf>
    <xf numFmtId="183" fontId="13" fillId="0" borderId="28" xfId="0" applyNumberFormat="1" applyFont="1" applyFill="1" applyBorder="1" applyAlignment="1" applyProtection="1">
      <alignment horizontal="right" vertical="center" wrapText="1"/>
      <protection hidden="1"/>
    </xf>
    <xf numFmtId="0" fontId="65" fillId="11" borderId="70" xfId="3" applyFont="1" applyFill="1" applyBorder="1" applyAlignment="1" applyProtection="1">
      <alignment horizontal="center" vertical="center"/>
      <protection hidden="1"/>
    </xf>
    <xf numFmtId="0" fontId="65" fillId="11" borderId="71" xfId="3" applyFont="1" applyFill="1" applyBorder="1" applyAlignment="1" applyProtection="1">
      <alignment horizontal="center" vertical="center"/>
      <protection hidden="1"/>
    </xf>
    <xf numFmtId="0" fontId="65" fillId="11" borderId="72" xfId="3" applyFont="1" applyFill="1" applyBorder="1" applyAlignment="1" applyProtection="1">
      <alignment horizontal="center" vertical="center"/>
      <protection hidden="1"/>
    </xf>
    <xf numFmtId="0" fontId="57" fillId="4" borderId="0" xfId="0" applyFont="1" applyFill="1" applyAlignment="1" applyProtection="1">
      <alignment horizontal="center"/>
      <protection hidden="1"/>
    </xf>
    <xf numFmtId="0" fontId="12" fillId="0" borderId="14" xfId="0" applyFont="1" applyFill="1" applyBorder="1" applyAlignment="1" applyProtection="1">
      <alignment horizontal="left" vertical="center" shrinkToFit="1"/>
      <protection hidden="1"/>
    </xf>
    <xf numFmtId="0" fontId="12" fillId="0" borderId="9" xfId="0" applyFont="1" applyFill="1" applyBorder="1" applyAlignment="1" applyProtection="1">
      <alignment horizontal="left" vertical="center" shrinkToFit="1"/>
      <protection hidden="1"/>
    </xf>
    <xf numFmtId="0" fontId="12" fillId="0" borderId="14" xfId="0" applyFont="1" applyFill="1" applyBorder="1" applyAlignment="1" applyProtection="1">
      <alignment horizontal="right" vertical="center" wrapText="1"/>
      <protection hidden="1"/>
    </xf>
    <xf numFmtId="0" fontId="8" fillId="0" borderId="14" xfId="0" applyFont="1" applyFill="1" applyBorder="1" applyAlignment="1" applyProtection="1">
      <alignment horizontal="left" wrapText="1" shrinkToFit="1"/>
      <protection hidden="1"/>
    </xf>
    <xf numFmtId="0" fontId="8" fillId="0" borderId="12" xfId="0" applyFont="1" applyFill="1" applyBorder="1" applyAlignment="1" applyProtection="1">
      <alignment horizontal="left" wrapText="1" shrinkToFit="1"/>
      <protection hidden="1"/>
    </xf>
    <xf numFmtId="176" fontId="3" fillId="0" borderId="11" xfId="0" applyNumberFormat="1"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83" fontId="12" fillId="0" borderId="11" xfId="0" applyNumberFormat="1" applyFont="1" applyBorder="1" applyAlignment="1" applyProtection="1">
      <alignment horizontal="right" vertical="center" shrinkToFit="1"/>
      <protection hidden="1"/>
    </xf>
    <xf numFmtId="183" fontId="12" fillId="0" borderId="15" xfId="0" applyNumberFormat="1" applyFont="1" applyBorder="1" applyAlignment="1" applyProtection="1">
      <alignment horizontal="right" vertical="center" shrinkToFit="1"/>
      <protection hidden="1"/>
    </xf>
    <xf numFmtId="176" fontId="6" fillId="0" borderId="11" xfId="0" applyNumberFormat="1" applyFont="1" applyFill="1" applyBorder="1" applyAlignment="1" applyProtection="1">
      <alignment horizontal="center" vertical="center" wrapText="1" shrinkToFit="1"/>
      <protection hidden="1"/>
    </xf>
    <xf numFmtId="176" fontId="6" fillId="0" borderId="10" xfId="0" applyNumberFormat="1" applyFont="1" applyFill="1" applyBorder="1" applyAlignment="1" applyProtection="1">
      <alignment horizontal="center" vertical="center" wrapText="1" shrinkToFit="1"/>
      <protection hidden="1"/>
    </xf>
    <xf numFmtId="0" fontId="3" fillId="0" borderId="15"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46" xfId="0" applyFont="1" applyFill="1" applyBorder="1" applyAlignment="1" applyProtection="1">
      <alignment horizontal="right" wrapText="1"/>
      <protection hidden="1"/>
    </xf>
    <xf numFmtId="0" fontId="3" fillId="0" borderId="28" xfId="0" applyFont="1" applyFill="1" applyBorder="1" applyAlignment="1" applyProtection="1">
      <alignment horizontal="right" wrapText="1"/>
      <protection hidden="1"/>
    </xf>
    <xf numFmtId="0" fontId="3" fillId="0" borderId="29" xfId="0" applyFont="1" applyFill="1" applyBorder="1" applyAlignment="1" applyProtection="1">
      <alignment horizontal="right" wrapText="1"/>
      <protection hidden="1"/>
    </xf>
    <xf numFmtId="0" fontId="4" fillId="0" borderId="11"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3" fillId="0" borderId="55" xfId="0" applyFont="1" applyFill="1" applyBorder="1" applyAlignment="1" applyProtection="1">
      <alignment horizontal="right" wrapText="1"/>
      <protection hidden="1"/>
    </xf>
    <xf numFmtId="0" fontId="20" fillId="0" borderId="0" xfId="0" applyFont="1" applyBorder="1" applyAlignment="1" applyProtection="1">
      <alignment horizontal="center" vertical="center" wrapText="1"/>
      <protection hidden="1"/>
    </xf>
    <xf numFmtId="0" fontId="3" fillId="0" borderId="8"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62"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63" xfId="0" applyFont="1" applyFill="1" applyBorder="1" applyAlignment="1" applyProtection="1">
      <alignment horizontal="center" vertical="center" wrapText="1"/>
      <protection hidden="1"/>
    </xf>
    <xf numFmtId="0" fontId="3" fillId="0" borderId="54"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59"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55" xfId="0" applyFont="1" applyFill="1" applyBorder="1" applyAlignment="1" applyProtection="1">
      <alignment horizontal="center" vertical="center" wrapText="1"/>
      <protection hidden="1"/>
    </xf>
    <xf numFmtId="0" fontId="65" fillId="11" borderId="84" xfId="3" applyFont="1" applyFill="1" applyBorder="1" applyAlignment="1" applyProtection="1">
      <alignment horizontal="center" vertical="center"/>
      <protection hidden="1"/>
    </xf>
    <xf numFmtId="0" fontId="65" fillId="11" borderId="85" xfId="3" applyFont="1" applyFill="1" applyBorder="1" applyAlignment="1" applyProtection="1">
      <alignment horizontal="center" vertical="center"/>
      <protection hidden="1"/>
    </xf>
    <xf numFmtId="0" fontId="65" fillId="11" borderId="86" xfId="3"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right" wrapText="1"/>
      <protection hidden="1"/>
    </xf>
    <xf numFmtId="0" fontId="4" fillId="0" borderId="14" xfId="0" applyFont="1" applyFill="1" applyBorder="1" applyAlignment="1" applyProtection="1">
      <alignment horizontal="right" wrapText="1"/>
      <protection hidden="1"/>
    </xf>
    <xf numFmtId="0" fontId="4" fillId="0" borderId="9" xfId="0" applyFont="1" applyFill="1" applyBorder="1" applyAlignment="1" applyProtection="1">
      <alignment horizontal="right" wrapText="1"/>
      <protection hidden="1"/>
    </xf>
    <xf numFmtId="0" fontId="4" fillId="0" borderId="3"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4" fillId="0" borderId="2" xfId="0" applyFont="1" applyFill="1" applyBorder="1" applyAlignment="1" applyProtection="1">
      <alignment horizontal="right" wrapText="1"/>
      <protection hidden="1"/>
    </xf>
    <xf numFmtId="0" fontId="4" fillId="0" borderId="5" xfId="0" applyFont="1" applyFill="1" applyBorder="1" applyAlignment="1" applyProtection="1">
      <alignment horizontal="right" wrapText="1"/>
      <protection hidden="1"/>
    </xf>
    <xf numFmtId="0" fontId="4" fillId="0" borderId="12" xfId="0" applyFont="1" applyFill="1" applyBorder="1" applyAlignment="1" applyProtection="1">
      <alignment horizontal="right" wrapText="1"/>
      <protection hidden="1"/>
    </xf>
    <xf numFmtId="0" fontId="4" fillId="0" borderId="6" xfId="0" applyFont="1" applyFill="1" applyBorder="1" applyAlignment="1" applyProtection="1">
      <alignment horizontal="right" wrapText="1"/>
      <protection hidden="1"/>
    </xf>
    <xf numFmtId="0" fontId="3" fillId="0" borderId="17" xfId="0" applyFont="1"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right" vertical="center" wrapText="1"/>
      <protection hidden="1"/>
    </xf>
    <xf numFmtId="0" fontId="12" fillId="0" borderId="15" xfId="0" applyFont="1" applyFill="1" applyBorder="1" applyAlignment="1" applyProtection="1">
      <alignment horizontal="right" vertical="center" wrapText="1"/>
      <protection hidden="1"/>
    </xf>
    <xf numFmtId="0" fontId="3" fillId="0" borderId="48"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right" wrapText="1"/>
      <protection hidden="1"/>
    </xf>
    <xf numFmtId="0" fontId="3" fillId="0" borderId="16" xfId="0" applyFont="1" applyFill="1" applyBorder="1" applyAlignment="1" applyProtection="1">
      <alignment horizontal="center" vertical="center" wrapText="1"/>
      <protection hidden="1"/>
    </xf>
    <xf numFmtId="183" fontId="12" fillId="0" borderId="22" xfId="0" applyNumberFormat="1" applyFont="1" applyFill="1" applyBorder="1" applyAlignment="1" applyProtection="1">
      <alignment horizontal="right" vertical="center" wrapText="1"/>
      <protection hidden="1"/>
    </xf>
    <xf numFmtId="183" fontId="12" fillId="0" borderId="28" xfId="0" applyNumberFormat="1" applyFont="1" applyFill="1" applyBorder="1" applyAlignment="1" applyProtection="1">
      <alignment horizontal="right" vertical="center" wrapText="1"/>
      <protection hidden="1"/>
    </xf>
    <xf numFmtId="0" fontId="4" fillId="0" borderId="15" xfId="0" applyFont="1" applyFill="1" applyBorder="1" applyAlignment="1" applyProtection="1">
      <alignment horizontal="left" vertical="center" shrinkToFit="1"/>
      <protection hidden="1"/>
    </xf>
    <xf numFmtId="0" fontId="9" fillId="0" borderId="15" xfId="0" applyFont="1" applyFill="1" applyBorder="1" applyAlignment="1" applyProtection="1">
      <alignment horizontal="left" vertical="center" shrinkToFit="1"/>
      <protection hidden="1"/>
    </xf>
    <xf numFmtId="0" fontId="9" fillId="0" borderId="10" xfId="0" applyFont="1" applyFill="1" applyBorder="1" applyAlignment="1" applyProtection="1">
      <alignment horizontal="left" vertical="center" shrinkToFit="1"/>
      <protection hidden="1"/>
    </xf>
    <xf numFmtId="180" fontId="4" fillId="0" borderId="32" xfId="0" applyNumberFormat="1"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6" fillId="0" borderId="11" xfId="0" applyFont="1" applyBorder="1" applyAlignment="1" applyProtection="1">
      <alignment horizontal="center" wrapText="1"/>
      <protection hidden="1"/>
    </xf>
    <xf numFmtId="0" fontId="6" fillId="0" borderId="15" xfId="0" applyFont="1" applyBorder="1" applyAlignment="1" applyProtection="1">
      <alignment horizontal="center" wrapText="1"/>
      <protection hidden="1"/>
    </xf>
    <xf numFmtId="176" fontId="3" fillId="0" borderId="56" xfId="0" applyNumberFormat="1" applyFont="1" applyFill="1" applyBorder="1" applyAlignment="1" applyProtection="1">
      <alignment horizontal="center" vertical="center" wrapText="1"/>
      <protection hidden="1"/>
    </xf>
    <xf numFmtId="176" fontId="3" fillId="0" borderId="57" xfId="0" applyNumberFormat="1" applyFont="1" applyFill="1" applyBorder="1" applyAlignment="1" applyProtection="1">
      <alignment horizontal="center" vertical="center" wrapText="1"/>
      <protection hidden="1"/>
    </xf>
    <xf numFmtId="176" fontId="3" fillId="0" borderId="58" xfId="0" applyNumberFormat="1" applyFont="1" applyFill="1" applyBorder="1" applyAlignment="1" applyProtection="1">
      <alignment horizontal="center" vertical="center" wrapText="1"/>
      <protection hidden="1"/>
    </xf>
    <xf numFmtId="0" fontId="4" fillId="0" borderId="21"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182" fontId="3" fillId="0" borderId="60" xfId="0" applyNumberFormat="1" applyFont="1" applyBorder="1" applyAlignment="1" applyProtection="1">
      <alignment horizontal="center" vertical="center" wrapText="1"/>
      <protection hidden="1"/>
    </xf>
    <xf numFmtId="182" fontId="3" fillId="0" borderId="108" xfId="0" applyNumberFormat="1" applyFont="1" applyBorder="1" applyAlignment="1" applyProtection="1">
      <alignment horizontal="center" vertical="center" wrapText="1"/>
      <protection hidden="1"/>
    </xf>
    <xf numFmtId="182" fontId="3" fillId="0" borderId="109" xfId="0" applyNumberFormat="1" applyFont="1" applyBorder="1" applyAlignment="1" applyProtection="1">
      <alignment horizontal="center" vertical="center" wrapText="1"/>
      <protection hidden="1"/>
    </xf>
    <xf numFmtId="180" fontId="3" fillId="0" borderId="21" xfId="0" applyNumberFormat="1" applyFont="1" applyBorder="1" applyAlignment="1" applyProtection="1">
      <alignment horizontal="center" vertical="center" wrapText="1"/>
      <protection hidden="1"/>
    </xf>
    <xf numFmtId="180" fontId="3" fillId="0" borderId="23" xfId="0" applyNumberFormat="1" applyFont="1" applyBorder="1" applyAlignment="1" applyProtection="1">
      <alignment horizontal="center" vertical="center" wrapText="1"/>
      <protection hidden="1"/>
    </xf>
    <xf numFmtId="180" fontId="3" fillId="0" borderId="24" xfId="0" applyNumberFormat="1" applyFont="1" applyBorder="1" applyAlignment="1" applyProtection="1">
      <alignment horizontal="center" vertical="center" wrapText="1"/>
      <protection hidden="1"/>
    </xf>
    <xf numFmtId="180" fontId="3" fillId="0" borderId="25" xfId="0" applyNumberFormat="1" applyFont="1" applyBorder="1" applyAlignment="1" applyProtection="1">
      <alignment horizontal="center" vertical="center" wrapText="1"/>
      <protection hidden="1"/>
    </xf>
    <xf numFmtId="180" fontId="3" fillId="0" borderId="26" xfId="0" applyNumberFormat="1" applyFont="1" applyBorder="1" applyAlignment="1" applyProtection="1">
      <alignment horizontal="center" vertical="center" wrapText="1"/>
      <protection hidden="1"/>
    </xf>
    <xf numFmtId="180" fontId="3" fillId="0" borderId="27" xfId="0" applyNumberFormat="1" applyFont="1" applyBorder="1" applyAlignment="1" applyProtection="1">
      <alignment horizontal="center" vertical="center" wrapText="1"/>
      <protection hidden="1"/>
    </xf>
    <xf numFmtId="182" fontId="3" fillId="0" borderId="22" xfId="0" applyNumberFormat="1" applyFont="1" applyBorder="1" applyAlignment="1" applyProtection="1">
      <alignment horizontal="center" vertical="center" wrapText="1"/>
      <protection hidden="1"/>
    </xf>
    <xf numFmtId="182" fontId="3" fillId="0" borderId="28" xfId="0" applyNumberFormat="1" applyFont="1" applyBorder="1" applyAlignment="1" applyProtection="1">
      <alignment horizontal="center" vertical="center" wrapText="1"/>
      <protection hidden="1"/>
    </xf>
    <xf numFmtId="182" fontId="3" fillId="0" borderId="29" xfId="0" applyNumberFormat="1" applyFont="1" applyBorder="1" applyAlignment="1" applyProtection="1">
      <alignment horizontal="center" vertical="center" wrapText="1"/>
      <protection hidden="1"/>
    </xf>
    <xf numFmtId="176" fontId="4" fillId="0" borderId="56" xfId="0" applyNumberFormat="1" applyFont="1" applyBorder="1" applyAlignment="1" applyProtection="1">
      <alignment horizontal="center" vertical="center" wrapText="1"/>
      <protection hidden="1"/>
    </xf>
    <xf numFmtId="176" fontId="4" fillId="0" borderId="57" xfId="0" applyNumberFormat="1" applyFont="1" applyBorder="1" applyAlignment="1" applyProtection="1">
      <alignment horizontal="center" vertical="center" wrapText="1"/>
      <protection hidden="1"/>
    </xf>
    <xf numFmtId="176" fontId="4" fillId="0" borderId="58" xfId="0" applyNumberFormat="1" applyFont="1" applyBorder="1" applyAlignment="1" applyProtection="1">
      <alignment horizontal="center" vertical="center" wrapText="1"/>
      <protection hidden="1"/>
    </xf>
    <xf numFmtId="0" fontId="7" fillId="0" borderId="14" xfId="0" applyFont="1" applyBorder="1" applyAlignment="1" applyProtection="1">
      <alignment horizontal="left" vertical="top" wrapText="1"/>
      <protection hidden="1"/>
    </xf>
    <xf numFmtId="0" fontId="35" fillId="0" borderId="14" xfId="0" applyFont="1" applyBorder="1" applyAlignment="1" applyProtection="1">
      <alignment horizontal="left" vertical="top" wrapText="1"/>
      <protection hidden="1"/>
    </xf>
    <xf numFmtId="0" fontId="35" fillId="0" borderId="0" xfId="0" applyFont="1" applyBorder="1" applyAlignment="1" applyProtection="1">
      <alignment horizontal="left" vertical="top" wrapText="1"/>
      <protection hidden="1"/>
    </xf>
    <xf numFmtId="0" fontId="6" fillId="0" borderId="11"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4" fillId="0" borderId="22"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183" fontId="3" fillId="0" borderId="22" xfId="0" applyNumberFormat="1" applyFont="1" applyBorder="1" applyAlignment="1" applyProtection="1">
      <alignment horizontal="right" vertical="center" shrinkToFit="1"/>
      <protection hidden="1"/>
    </xf>
    <xf numFmtId="183" fontId="3" fillId="0" borderId="28" xfId="0" applyNumberFormat="1" applyFont="1" applyBorder="1" applyAlignment="1" applyProtection="1">
      <alignment horizontal="right" vertical="center" shrinkToFit="1"/>
      <protection hidden="1"/>
    </xf>
    <xf numFmtId="0" fontId="16" fillId="0" borderId="13" xfId="0" applyFont="1" applyBorder="1" applyAlignment="1" applyProtection="1">
      <alignment horizontal="left" vertical="center" wrapText="1"/>
      <protection hidden="1"/>
    </xf>
    <xf numFmtId="0" fontId="16" fillId="0" borderId="65" xfId="0" applyFont="1" applyBorder="1" applyAlignment="1" applyProtection="1">
      <alignment horizontal="left" vertical="center" wrapText="1"/>
      <protection hidden="1"/>
    </xf>
    <xf numFmtId="0" fontId="4" fillId="0" borderId="18"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46" xfId="0" applyFont="1" applyBorder="1" applyAlignment="1" applyProtection="1">
      <alignment horizontal="center" vertical="center" wrapText="1"/>
      <protection hidden="1"/>
    </xf>
    <xf numFmtId="183" fontId="3" fillId="0" borderId="26" xfId="0" applyNumberFormat="1" applyFont="1" applyBorder="1" applyAlignment="1" applyProtection="1">
      <alignment horizontal="right" vertical="center" shrinkToFit="1"/>
      <protection hidden="1"/>
    </xf>
    <xf numFmtId="0" fontId="3" fillId="0" borderId="0" xfId="0" applyFont="1" applyBorder="1" applyAlignment="1" applyProtection="1">
      <alignment horizontal="right" vertical="center" shrinkToFit="1"/>
      <protection hidden="1"/>
    </xf>
    <xf numFmtId="0" fontId="3" fillId="0" borderId="14" xfId="0" applyFont="1" applyBorder="1" applyAlignment="1" applyProtection="1">
      <alignment horizontal="right" vertical="center" shrinkToFit="1"/>
      <protection hidden="1"/>
    </xf>
    <xf numFmtId="180" fontId="3" fillId="0" borderId="8" xfId="0" applyNumberFormat="1" applyFont="1" applyBorder="1" applyAlignment="1" applyProtection="1">
      <alignment horizontal="center" vertical="center" wrapText="1"/>
      <protection hidden="1"/>
    </xf>
    <xf numFmtId="180" fontId="3" fillId="0" borderId="14" xfId="0" applyNumberFormat="1" applyFont="1" applyBorder="1" applyAlignment="1" applyProtection="1">
      <alignment horizontal="center" vertical="center" wrapText="1"/>
      <protection hidden="1"/>
    </xf>
    <xf numFmtId="180" fontId="3" fillId="0" borderId="9" xfId="0" applyNumberFormat="1" applyFont="1" applyBorder="1" applyAlignment="1" applyProtection="1">
      <alignment horizontal="center" vertical="center" wrapText="1"/>
      <protection hidden="1"/>
    </xf>
    <xf numFmtId="180" fontId="3" fillId="0" borderId="107" xfId="0" applyNumberFormat="1" applyFont="1" applyBorder="1" applyAlignment="1" applyProtection="1">
      <alignment horizontal="center" vertical="center" wrapText="1"/>
      <protection hidden="1"/>
    </xf>
    <xf numFmtId="180" fontId="3" fillId="0" borderId="66" xfId="0" applyNumberFormat="1" applyFont="1" applyBorder="1" applyAlignment="1" applyProtection="1">
      <alignment horizontal="center" vertical="center" wrapText="1"/>
      <protection hidden="1"/>
    </xf>
    <xf numFmtId="180" fontId="3" fillId="0" borderId="67" xfId="0" applyNumberFormat="1" applyFont="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3" fillId="0" borderId="0" xfId="0" applyNumberFormat="1" applyFont="1" applyBorder="1" applyAlignment="1" applyProtection="1">
      <alignment horizontal="right" vertical="center" shrinkToFit="1"/>
      <protection hidden="1"/>
    </xf>
    <xf numFmtId="0" fontId="4" fillId="0" borderId="60" xfId="0" applyFont="1" applyBorder="1" applyAlignment="1" applyProtection="1">
      <alignment horizontal="center" vertical="center"/>
      <protection hidden="1"/>
    </xf>
    <xf numFmtId="0" fontId="4" fillId="0" borderId="108" xfId="0" applyFont="1" applyBorder="1" applyAlignment="1" applyProtection="1">
      <alignment horizontal="center" vertical="center"/>
      <protection hidden="1"/>
    </xf>
    <xf numFmtId="0" fontId="4" fillId="0" borderId="109"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0" fillId="0" borderId="12" xfId="0" applyBorder="1" applyAlignment="1" applyProtection="1">
      <alignment horizontal="left" wrapText="1"/>
      <protection hidden="1"/>
    </xf>
    <xf numFmtId="0" fontId="6" fillId="0" borderId="12" xfId="0" applyFont="1" applyBorder="1" applyAlignment="1" applyProtection="1">
      <alignment horizontal="center" vertical="center" wrapText="1"/>
      <protection hidden="1"/>
    </xf>
    <xf numFmtId="0" fontId="3" fillId="0" borderId="0" xfId="0" applyFont="1" applyBorder="1" applyAlignment="1" applyProtection="1">
      <alignment horizontal="left" vertical="center" shrinkToFit="1"/>
      <protection hidden="1"/>
    </xf>
    <xf numFmtId="0" fontId="4" fillId="0" borderId="23"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0" fontId="3" fillId="0" borderId="14" xfId="0" applyNumberFormat="1" applyFont="1" applyBorder="1" applyAlignment="1" applyProtection="1">
      <alignment horizontal="left" vertical="center" shrinkToFit="1"/>
      <protection hidden="1"/>
    </xf>
    <xf numFmtId="0" fontId="3" fillId="0" borderId="9" xfId="0" applyNumberFormat="1" applyFont="1" applyBorder="1" applyAlignment="1" applyProtection="1">
      <alignment horizontal="left" vertical="center" shrinkToFit="1"/>
      <protection hidden="1"/>
    </xf>
    <xf numFmtId="0" fontId="3" fillId="0" borderId="14" xfId="0" applyFont="1" applyBorder="1" applyAlignment="1" applyProtection="1">
      <alignment horizontal="left" vertical="center" shrinkToFit="1"/>
      <protection hidden="1"/>
    </xf>
    <xf numFmtId="0" fontId="3" fillId="0" borderId="9" xfId="0" applyFont="1" applyBorder="1" applyAlignment="1" applyProtection="1">
      <alignment horizontal="left" vertical="center" shrinkToFit="1"/>
      <protection hidden="1"/>
    </xf>
    <xf numFmtId="0" fontId="3" fillId="0" borderId="17"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54"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183" fontId="3" fillId="0" borderId="25" xfId="0" applyNumberFormat="1" applyFont="1" applyBorder="1" applyAlignment="1" applyProtection="1">
      <alignment horizontal="right" vertical="center" shrinkToFit="1"/>
      <protection hidden="1"/>
    </xf>
    <xf numFmtId="183" fontId="3" fillId="0" borderId="11" xfId="0" applyNumberFormat="1" applyFont="1" applyBorder="1" applyAlignment="1" applyProtection="1">
      <alignment horizontal="right" vertical="center" shrinkToFit="1"/>
      <protection hidden="1"/>
    </xf>
    <xf numFmtId="183" fontId="3" fillId="0" borderId="15" xfId="0" applyNumberFormat="1" applyFont="1" applyBorder="1" applyAlignment="1" applyProtection="1">
      <alignment horizontal="right" vertical="center" shrinkToFit="1"/>
      <protection hidden="1"/>
    </xf>
    <xf numFmtId="0" fontId="4" fillId="0" borderId="0" xfId="0" applyFont="1" applyBorder="1" applyAlignment="1" applyProtection="1">
      <alignment horizontal="right" vertical="top" wrapText="1"/>
    </xf>
    <xf numFmtId="0" fontId="4" fillId="0" borderId="17"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49" fontId="3" fillId="0" borderId="8" xfId="0" applyNumberFormat="1" applyFont="1" applyBorder="1" applyAlignment="1" applyProtection="1">
      <alignment horizontal="center" vertical="center" shrinkToFit="1"/>
      <protection hidden="1"/>
    </xf>
    <xf numFmtId="49" fontId="3" fillId="0" borderId="14" xfId="0" applyNumberFormat="1" applyFont="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shrinkToFit="1"/>
      <protection hidden="1"/>
    </xf>
    <xf numFmtId="0" fontId="8" fillId="0" borderId="12" xfId="0" applyFont="1" applyBorder="1" applyAlignment="1" applyProtection="1">
      <alignment horizontal="left"/>
      <protection hidden="1"/>
    </xf>
    <xf numFmtId="0" fontId="8" fillId="0" borderId="12" xfId="0" applyFont="1" applyBorder="1" applyAlignment="1" applyProtection="1">
      <alignment horizontal="left" vertical="center" wrapText="1"/>
      <protection hidden="1"/>
    </xf>
    <xf numFmtId="0" fontId="4" fillId="0" borderId="48" xfId="0" applyFont="1" applyBorder="1" applyAlignment="1" applyProtection="1">
      <alignment horizontal="center" vertical="center" wrapText="1"/>
      <protection hidden="1"/>
    </xf>
    <xf numFmtId="0" fontId="4" fillId="0" borderId="49" xfId="0" applyFont="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shrinkToFit="1"/>
      <protection hidden="1"/>
    </xf>
    <xf numFmtId="0" fontId="4" fillId="0" borderId="32" xfId="0"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shrinkToFit="1"/>
      <protection hidden="1"/>
    </xf>
    <xf numFmtId="0" fontId="30" fillId="0" borderId="11" xfId="0" applyFont="1" applyBorder="1" applyAlignment="1" applyProtection="1">
      <alignment horizontal="center" vertical="center" wrapText="1"/>
      <protection hidden="1"/>
    </xf>
    <xf numFmtId="0" fontId="30" fillId="0" borderId="15" xfId="0" applyFont="1" applyBorder="1" applyAlignment="1" applyProtection="1">
      <alignment horizontal="center" vertical="center" wrapText="1"/>
      <protection hidden="1"/>
    </xf>
    <xf numFmtId="0" fontId="13" fillId="0" borderId="22" xfId="0" applyFont="1" applyFill="1" applyBorder="1" applyAlignment="1" applyProtection="1">
      <alignment horizontal="center" wrapText="1"/>
      <protection hidden="1"/>
    </xf>
    <xf numFmtId="0" fontId="13" fillId="0" borderId="55" xfId="0" applyFont="1" applyFill="1" applyBorder="1" applyAlignment="1" applyProtection="1">
      <alignment horizontal="center" wrapText="1"/>
      <protection hidden="1"/>
    </xf>
    <xf numFmtId="0" fontId="4" fillId="0" borderId="63" xfId="0" applyFont="1" applyFill="1" applyBorder="1" applyAlignment="1" applyProtection="1">
      <alignment horizontal="center" vertical="center" wrapText="1"/>
      <protection hidden="1"/>
    </xf>
    <xf numFmtId="0" fontId="4" fillId="0" borderId="59"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left" vertical="center" wrapText="1"/>
      <protection hidden="1"/>
    </xf>
    <xf numFmtId="0" fontId="3" fillId="0" borderId="23" xfId="0" applyFont="1" applyFill="1" applyBorder="1" applyAlignment="1" applyProtection="1">
      <alignment horizontal="left" vertical="center" wrapText="1"/>
      <protection hidden="1"/>
    </xf>
    <xf numFmtId="0" fontId="3" fillId="0" borderId="63" xfId="0" applyFont="1" applyFill="1" applyBorder="1" applyAlignment="1" applyProtection="1">
      <alignment horizontal="left" vertical="center" wrapText="1"/>
      <protection hidden="1"/>
    </xf>
    <xf numFmtId="0" fontId="7" fillId="0" borderId="36" xfId="0" applyFont="1" applyFill="1" applyBorder="1" applyAlignment="1" applyProtection="1">
      <alignment horizontal="left" vertical="top" wrapText="1"/>
      <protection hidden="1"/>
    </xf>
    <xf numFmtId="0" fontId="7" fillId="0" borderId="23" xfId="0" applyFont="1" applyFill="1" applyBorder="1" applyAlignment="1" applyProtection="1">
      <alignment horizontal="left" vertical="top" wrapText="1"/>
      <protection hidden="1"/>
    </xf>
    <xf numFmtId="0" fontId="7" fillId="0" borderId="63" xfId="0" applyFont="1" applyFill="1" applyBorder="1" applyAlignment="1" applyProtection="1">
      <alignment horizontal="left" vertical="top" wrapText="1"/>
      <protection hidden="1"/>
    </xf>
    <xf numFmtId="0" fontId="3" fillId="0" borderId="25" xfId="0" applyFont="1" applyFill="1" applyBorder="1" applyAlignment="1" applyProtection="1">
      <alignment horizontal="left" vertical="center" wrapText="1"/>
      <protection hidden="1"/>
    </xf>
    <xf numFmtId="0" fontId="3" fillId="0" borderId="26" xfId="0" applyFont="1" applyFill="1" applyBorder="1" applyAlignment="1" applyProtection="1">
      <alignment horizontal="left" vertical="center" wrapText="1"/>
      <protection hidden="1"/>
    </xf>
    <xf numFmtId="0" fontId="3" fillId="0" borderId="59" xfId="0" applyFont="1" applyFill="1" applyBorder="1" applyAlignment="1" applyProtection="1">
      <alignment horizontal="left" vertical="center" wrapText="1"/>
      <protection hidden="1"/>
    </xf>
    <xf numFmtId="0" fontId="7" fillId="0" borderId="54" xfId="0" applyFont="1" applyFill="1" applyBorder="1" applyAlignment="1" applyProtection="1">
      <alignment horizontal="center" vertical="top" wrapText="1"/>
      <protection hidden="1"/>
    </xf>
    <xf numFmtId="0" fontId="7" fillId="0" borderId="26" xfId="0" applyFont="1" applyFill="1" applyBorder="1" applyAlignment="1" applyProtection="1">
      <alignment horizontal="center" vertical="top" wrapText="1"/>
      <protection hidden="1"/>
    </xf>
    <xf numFmtId="0" fontId="7" fillId="0" borderId="54" xfId="0" applyFont="1" applyFill="1" applyBorder="1" applyAlignment="1" applyProtection="1">
      <alignment horizontal="left" vertical="top" wrapText="1"/>
      <protection hidden="1"/>
    </xf>
    <xf numFmtId="0" fontId="7" fillId="0" borderId="26" xfId="0" applyFont="1" applyFill="1" applyBorder="1" applyAlignment="1" applyProtection="1">
      <alignment horizontal="left" vertical="top" wrapText="1"/>
      <protection hidden="1"/>
    </xf>
    <xf numFmtId="0" fontId="7" fillId="0" borderId="59" xfId="0" applyFont="1" applyFill="1" applyBorder="1" applyAlignment="1" applyProtection="1">
      <alignment horizontal="left" vertical="top" wrapText="1"/>
      <protection hidden="1"/>
    </xf>
    <xf numFmtId="0" fontId="42" fillId="0" borderId="54" xfId="0" applyFont="1" applyFill="1" applyBorder="1" applyAlignment="1" applyProtection="1">
      <alignment horizontal="left" vertical="top" wrapText="1"/>
      <protection hidden="1"/>
    </xf>
    <xf numFmtId="0" fontId="42" fillId="0" borderId="26" xfId="0" applyFont="1" applyFill="1" applyBorder="1" applyAlignment="1" applyProtection="1">
      <alignment horizontal="left" vertical="top" wrapText="1"/>
      <protection hidden="1"/>
    </xf>
    <xf numFmtId="0" fontId="12" fillId="0" borderId="54"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59"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wrapText="1" shrinkToFit="1"/>
      <protection hidden="1"/>
    </xf>
    <xf numFmtId="0" fontId="7" fillId="0" borderId="15" xfId="0" applyFont="1" applyBorder="1" applyAlignment="1" applyProtection="1">
      <alignment horizontal="center" vertical="center" wrapText="1" shrinkToFit="1"/>
      <protection hidden="1"/>
    </xf>
    <xf numFmtId="0" fontId="7" fillId="0" borderId="10" xfId="0" applyFont="1" applyBorder="1" applyAlignment="1" applyProtection="1">
      <alignment horizontal="center" vertical="center" wrapText="1" shrinkToFit="1"/>
      <protection hidden="1"/>
    </xf>
    <xf numFmtId="0" fontId="4" fillId="0" borderId="107" xfId="0" applyFont="1" applyFill="1" applyBorder="1" applyAlignment="1" applyProtection="1">
      <alignment horizontal="center" vertical="center" wrapText="1"/>
      <protection hidden="1"/>
    </xf>
    <xf numFmtId="0" fontId="4" fillId="0" borderId="66" xfId="0" applyFont="1" applyFill="1" applyBorder="1" applyAlignment="1" applyProtection="1">
      <alignment horizontal="center" vertical="center" wrapText="1"/>
      <protection hidden="1"/>
    </xf>
    <xf numFmtId="0" fontId="4" fillId="0" borderId="67"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left" wrapText="1"/>
      <protection hidden="1"/>
    </xf>
    <xf numFmtId="0" fontId="6" fillId="0" borderId="14"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wrapText="1"/>
      <protection hidden="1"/>
    </xf>
    <xf numFmtId="0" fontId="7" fillId="0" borderId="14"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3" fillId="0" borderId="19" xfId="0" applyFont="1" applyFill="1" applyBorder="1" applyAlignment="1" applyProtection="1">
      <alignment horizontal="right" vertical="center" wrapText="1"/>
      <protection hidden="1"/>
    </xf>
    <xf numFmtId="183" fontId="13" fillId="0" borderId="68" xfId="0" applyNumberFormat="1" applyFont="1" applyFill="1" applyBorder="1" applyAlignment="1" applyProtection="1">
      <alignment horizontal="right" vertical="center" wrapText="1"/>
      <protection hidden="1"/>
    </xf>
    <xf numFmtId="183" fontId="13" fillId="0" borderId="66" xfId="0" applyNumberFormat="1" applyFont="1" applyFill="1" applyBorder="1" applyAlignment="1" applyProtection="1">
      <alignment horizontal="right" vertical="center" wrapText="1"/>
      <protection hidden="1"/>
    </xf>
    <xf numFmtId="183" fontId="13" fillId="0" borderId="54" xfId="0" applyNumberFormat="1" applyFont="1" applyFill="1" applyBorder="1" applyAlignment="1" applyProtection="1">
      <alignment horizontal="right" vertical="center" wrapText="1"/>
      <protection hidden="1"/>
    </xf>
    <xf numFmtId="183" fontId="13" fillId="0" borderId="26" xfId="0" applyNumberFormat="1" applyFont="1" applyFill="1" applyBorder="1" applyAlignment="1" applyProtection="1">
      <alignment horizontal="right" vertical="center" wrapText="1"/>
      <protection hidden="1"/>
    </xf>
    <xf numFmtId="0" fontId="3" fillId="0" borderId="5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176" fontId="6" fillId="0" borderId="37" xfId="0" applyNumberFormat="1" applyFont="1" applyFill="1" applyBorder="1" applyAlignment="1" applyProtection="1">
      <alignment horizontal="center" vertical="center" shrinkToFit="1"/>
      <protection hidden="1"/>
    </xf>
    <xf numFmtId="176" fontId="6" fillId="0" borderId="38" xfId="0" applyNumberFormat="1" applyFont="1" applyFill="1" applyBorder="1" applyAlignment="1" applyProtection="1">
      <alignment horizontal="center" vertical="center" shrinkToFit="1"/>
      <protection hidden="1"/>
    </xf>
    <xf numFmtId="176" fontId="6" fillId="0" borderId="39" xfId="0" applyNumberFormat="1" applyFont="1" applyFill="1" applyBorder="1" applyAlignment="1" applyProtection="1">
      <alignment horizontal="center" vertical="center" shrinkToFit="1"/>
      <protection hidden="1"/>
    </xf>
    <xf numFmtId="176" fontId="6" fillId="0" borderId="40" xfId="0" applyNumberFormat="1" applyFont="1" applyFill="1" applyBorder="1" applyAlignment="1" applyProtection="1">
      <alignment horizontal="center" vertical="center" shrinkToFit="1"/>
      <protection hidden="1"/>
    </xf>
    <xf numFmtId="176" fontId="6" fillId="0" borderId="41" xfId="0" applyNumberFormat="1" applyFont="1" applyFill="1" applyBorder="1" applyAlignment="1" applyProtection="1">
      <alignment horizontal="center" vertical="center" shrinkToFit="1"/>
      <protection hidden="1"/>
    </xf>
    <xf numFmtId="176" fontId="6" fillId="0" borderId="42" xfId="0" applyNumberFormat="1" applyFont="1" applyFill="1" applyBorder="1" applyAlignment="1" applyProtection="1">
      <alignment horizontal="center" vertical="center" shrinkToFit="1"/>
      <protection hidden="1"/>
    </xf>
    <xf numFmtId="176" fontId="6" fillId="0" borderId="43" xfId="0" applyNumberFormat="1" applyFont="1" applyFill="1" applyBorder="1" applyAlignment="1" applyProtection="1">
      <alignment horizontal="center" vertical="center" shrinkToFit="1"/>
      <protection hidden="1"/>
    </xf>
    <xf numFmtId="176" fontId="6" fillId="0" borderId="44" xfId="0" applyNumberFormat="1" applyFont="1" applyFill="1" applyBorder="1" applyAlignment="1" applyProtection="1">
      <alignment horizontal="center" vertical="center" shrinkToFit="1"/>
      <protection hidden="1"/>
    </xf>
    <xf numFmtId="176" fontId="6" fillId="0" borderId="45" xfId="0" applyNumberFormat="1" applyFont="1" applyFill="1" applyBorder="1" applyAlignment="1" applyProtection="1">
      <alignment horizontal="center" vertical="center" shrinkToFit="1"/>
      <protection hidden="1"/>
    </xf>
    <xf numFmtId="0" fontId="32" fillId="0" borderId="12" xfId="0" applyFont="1" applyBorder="1" applyAlignment="1" applyProtection="1">
      <alignment horizontal="left" wrapText="1"/>
      <protection hidden="1"/>
    </xf>
    <xf numFmtId="0" fontId="3" fillId="0" borderId="11"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3" fillId="0" borderId="32"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6" fillId="0" borderId="37" xfId="0" applyFont="1" applyBorder="1" applyAlignment="1" applyProtection="1">
      <alignment horizontal="center" wrapText="1"/>
      <protection hidden="1"/>
    </xf>
    <xf numFmtId="0" fontId="6" fillId="0" borderId="38" xfId="0" applyFont="1" applyBorder="1" applyAlignment="1" applyProtection="1">
      <alignment horizontal="center" wrapText="1"/>
      <protection hidden="1"/>
    </xf>
    <xf numFmtId="0" fontId="6" fillId="0" borderId="39" xfId="0" applyFont="1" applyBorder="1" applyAlignment="1" applyProtection="1">
      <alignment horizontal="center" wrapText="1"/>
      <protection hidden="1"/>
    </xf>
    <xf numFmtId="0" fontId="6" fillId="0" borderId="43" xfId="0" applyFont="1" applyBorder="1" applyAlignment="1" applyProtection="1">
      <alignment horizontal="center" wrapText="1"/>
      <protection hidden="1"/>
    </xf>
    <xf numFmtId="0" fontId="6" fillId="0" borderId="44" xfId="0" applyFont="1" applyBorder="1" applyAlignment="1" applyProtection="1">
      <alignment horizontal="center" wrapText="1"/>
      <protection hidden="1"/>
    </xf>
    <xf numFmtId="0" fontId="6" fillId="0" borderId="45" xfId="0" applyFont="1" applyBorder="1" applyAlignment="1" applyProtection="1">
      <alignment horizontal="center" wrapText="1"/>
      <protection hidden="1"/>
    </xf>
    <xf numFmtId="176" fontId="6" fillId="0" borderId="11" xfId="0" applyNumberFormat="1" applyFont="1" applyBorder="1" applyAlignment="1" applyProtection="1">
      <alignment horizontal="center" vertical="center" shrinkToFit="1"/>
      <protection hidden="1"/>
    </xf>
    <xf numFmtId="176" fontId="6" fillId="0" borderId="15" xfId="0" applyNumberFormat="1" applyFont="1" applyBorder="1" applyAlignment="1" applyProtection="1">
      <alignment horizontal="center" vertical="center" shrinkToFit="1"/>
      <protection hidden="1"/>
    </xf>
    <xf numFmtId="176" fontId="6" fillId="0" borderId="10" xfId="0" applyNumberFormat="1" applyFont="1" applyBorder="1" applyAlignment="1" applyProtection="1">
      <alignment horizontal="center" vertical="center" shrinkToFit="1"/>
      <protection hidden="1"/>
    </xf>
    <xf numFmtId="0" fontId="4" fillId="0" borderId="22" xfId="0" applyFont="1" applyFill="1" applyBorder="1" applyAlignment="1" applyProtection="1">
      <alignment horizontal="center" vertical="center" shrinkToFit="1"/>
      <protection hidden="1"/>
    </xf>
    <xf numFmtId="0" fontId="4" fillId="0" borderId="28" xfId="0" applyFont="1" applyFill="1" applyBorder="1" applyAlignment="1" applyProtection="1">
      <alignment horizontal="center" vertical="center" shrinkToFit="1"/>
      <protection hidden="1"/>
    </xf>
    <xf numFmtId="0" fontId="4" fillId="0" borderId="29" xfId="0" applyFont="1" applyFill="1" applyBorder="1" applyAlignment="1" applyProtection="1">
      <alignment horizontal="center" vertical="center" shrinkToFit="1"/>
      <protection hidden="1"/>
    </xf>
    <xf numFmtId="0" fontId="4" fillId="0" borderId="53" xfId="0" applyFont="1" applyFill="1" applyBorder="1" applyAlignment="1" applyProtection="1">
      <alignment horizontal="center" vertical="center" wrapText="1"/>
      <protection hidden="1"/>
    </xf>
    <xf numFmtId="0" fontId="4" fillId="0" borderId="51" xfId="0" applyFont="1" applyFill="1" applyBorder="1" applyAlignment="1" applyProtection="1">
      <alignment horizontal="center" vertical="center" wrapText="1"/>
      <protection hidden="1"/>
    </xf>
    <xf numFmtId="0" fontId="4" fillId="0" borderId="48"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wrapText="1"/>
      <protection hidden="1"/>
    </xf>
    <xf numFmtId="183" fontId="13" fillId="0" borderId="25" xfId="0" applyNumberFormat="1" applyFont="1" applyFill="1" applyBorder="1" applyAlignment="1" applyProtection="1">
      <alignment horizontal="right" vertical="center" shrinkToFit="1"/>
      <protection hidden="1"/>
    </xf>
    <xf numFmtId="183" fontId="13" fillId="0" borderId="26" xfId="0" applyNumberFormat="1" applyFont="1" applyFill="1" applyBorder="1" applyAlignment="1" applyProtection="1">
      <alignment horizontal="right" vertical="center" shrinkToFit="1"/>
      <protection hidden="1"/>
    </xf>
    <xf numFmtId="183" fontId="13" fillId="0" borderId="22" xfId="0" applyNumberFormat="1" applyFont="1" applyFill="1" applyBorder="1" applyAlignment="1" applyProtection="1">
      <alignment horizontal="right" vertical="center" shrinkToFit="1"/>
      <protection hidden="1"/>
    </xf>
    <xf numFmtId="183" fontId="13" fillId="0" borderId="28" xfId="0" applyNumberFormat="1" applyFont="1" applyFill="1" applyBorder="1" applyAlignment="1" applyProtection="1">
      <alignment horizontal="right" vertical="center" shrinkToFit="1"/>
      <protection hidden="1"/>
    </xf>
    <xf numFmtId="176" fontId="12" fillId="0" borderId="25" xfId="0" applyNumberFormat="1" applyFont="1" applyFill="1" applyBorder="1" applyAlignment="1" applyProtection="1">
      <alignment horizontal="center" vertical="center" wrapText="1"/>
      <protection hidden="1"/>
    </xf>
    <xf numFmtId="176" fontId="12" fillId="0" borderId="26" xfId="0" applyNumberFormat="1" applyFont="1" applyFill="1" applyBorder="1" applyAlignment="1" applyProtection="1">
      <alignment horizontal="center" vertical="center" wrapText="1"/>
      <protection hidden="1"/>
    </xf>
    <xf numFmtId="176" fontId="12" fillId="0" borderId="27" xfId="0" applyNumberFormat="1" applyFont="1" applyFill="1" applyBorder="1" applyAlignment="1" applyProtection="1">
      <alignment horizontal="center" vertical="center" wrapText="1"/>
      <protection hidden="1"/>
    </xf>
    <xf numFmtId="176" fontId="12" fillId="0" borderId="22" xfId="0" applyNumberFormat="1" applyFont="1" applyFill="1" applyBorder="1" applyAlignment="1" applyProtection="1">
      <alignment horizontal="center" vertical="center" wrapText="1"/>
      <protection hidden="1"/>
    </xf>
    <xf numFmtId="176" fontId="12" fillId="0" borderId="28" xfId="0" applyNumberFormat="1" applyFont="1" applyFill="1" applyBorder="1" applyAlignment="1" applyProtection="1">
      <alignment horizontal="center" vertical="center" wrapText="1"/>
      <protection hidden="1"/>
    </xf>
    <xf numFmtId="176" fontId="12" fillId="0" borderId="29" xfId="0" applyNumberFormat="1" applyFont="1" applyFill="1" applyBorder="1" applyAlignment="1" applyProtection="1">
      <alignment horizontal="center" vertical="center" wrapText="1"/>
      <protection hidden="1"/>
    </xf>
    <xf numFmtId="0" fontId="3" fillId="0" borderId="18" xfId="0" applyFont="1" applyFill="1" applyBorder="1" applyAlignment="1" applyProtection="1">
      <alignment horizontal="distributed" vertical="center" wrapText="1" indent="1"/>
      <protection hidden="1"/>
    </xf>
    <xf numFmtId="0" fontId="3" fillId="0" borderId="19" xfId="0" applyFont="1" applyFill="1" applyBorder="1" applyAlignment="1" applyProtection="1">
      <alignment horizontal="distributed" vertical="center" wrapText="1" indent="1"/>
      <protection hidden="1"/>
    </xf>
    <xf numFmtId="0" fontId="3" fillId="0" borderId="50" xfId="0" applyFont="1" applyFill="1" applyBorder="1" applyAlignment="1" applyProtection="1">
      <alignment horizontal="distributed" vertical="center" wrapText="1" indent="1"/>
      <protection hidden="1"/>
    </xf>
    <xf numFmtId="0" fontId="4" fillId="0" borderId="19" xfId="0" applyFont="1" applyFill="1" applyBorder="1" applyAlignment="1" applyProtection="1">
      <alignment horizontal="center" vertical="center" wrapText="1"/>
      <protection hidden="1"/>
    </xf>
    <xf numFmtId="183" fontId="12" fillId="0" borderId="19" xfId="0" applyNumberFormat="1" applyFont="1" applyFill="1" applyBorder="1" applyAlignment="1" applyProtection="1">
      <alignment horizontal="right" vertical="center" wrapText="1"/>
      <protection hidden="1"/>
    </xf>
    <xf numFmtId="183" fontId="12" fillId="0" borderId="50" xfId="0" applyNumberFormat="1" applyFont="1" applyFill="1" applyBorder="1" applyAlignment="1" applyProtection="1">
      <alignment horizontal="right" vertical="center" wrapText="1"/>
      <protection hidden="1"/>
    </xf>
    <xf numFmtId="0" fontId="3" fillId="0" borderId="31" xfId="0" applyFont="1" applyFill="1" applyBorder="1" applyAlignment="1" applyProtection="1">
      <alignment horizontal="distributed" vertical="center" wrapText="1" indent="1"/>
      <protection hidden="1"/>
    </xf>
    <xf numFmtId="0" fontId="3" fillId="0" borderId="32" xfId="0" applyFont="1" applyFill="1" applyBorder="1" applyAlignment="1" applyProtection="1">
      <alignment horizontal="distributed" vertical="center" wrapText="1" indent="1"/>
      <protection hidden="1"/>
    </xf>
    <xf numFmtId="0" fontId="3" fillId="0" borderId="49" xfId="0" applyFont="1" applyFill="1" applyBorder="1" applyAlignment="1" applyProtection="1">
      <alignment horizontal="distributed" vertical="center" wrapText="1" indent="1"/>
      <protection hidden="1"/>
    </xf>
    <xf numFmtId="0" fontId="3" fillId="0" borderId="31" xfId="0" applyFont="1" applyFill="1" applyBorder="1" applyAlignment="1" applyProtection="1">
      <alignment horizontal="center" vertical="center" shrinkToFit="1"/>
      <protection hidden="1"/>
    </xf>
    <xf numFmtId="0" fontId="3" fillId="0" borderId="32" xfId="0" applyFont="1" applyFill="1" applyBorder="1" applyAlignment="1" applyProtection="1">
      <alignment horizontal="center" vertical="center" shrinkToFit="1"/>
      <protection hidden="1"/>
    </xf>
    <xf numFmtId="0" fontId="3" fillId="0" borderId="49" xfId="0" applyFont="1" applyFill="1" applyBorder="1" applyAlignment="1" applyProtection="1">
      <alignment horizontal="center" vertical="center" shrinkToFit="1"/>
      <protection hidden="1"/>
    </xf>
    <xf numFmtId="0" fontId="6" fillId="0" borderId="11" xfId="0" applyFont="1" applyFill="1" applyBorder="1" applyAlignment="1" applyProtection="1">
      <alignment horizontal="center" vertical="center" shrinkToFit="1"/>
      <protection hidden="1"/>
    </xf>
    <xf numFmtId="0" fontId="6" fillId="0" borderId="10" xfId="0" applyFont="1" applyFill="1" applyBorder="1" applyAlignment="1" applyProtection="1">
      <alignment horizontal="center" vertical="center" shrinkToFit="1"/>
      <protection hidden="1"/>
    </xf>
    <xf numFmtId="183" fontId="13" fillId="0" borderId="1" xfId="0" applyNumberFormat="1" applyFont="1" applyFill="1" applyBorder="1" applyAlignment="1" applyProtection="1">
      <alignment horizontal="center" vertical="center" wrapText="1"/>
      <protection hidden="1"/>
    </xf>
    <xf numFmtId="180" fontId="3" fillId="0" borderId="17" xfId="0" applyNumberFormat="1" applyFont="1" applyFill="1" applyBorder="1" applyAlignment="1" applyProtection="1">
      <alignment horizontal="center" vertical="center" shrinkToFit="1"/>
      <protection hidden="1"/>
    </xf>
    <xf numFmtId="180" fontId="3" fillId="0" borderId="48" xfId="0" applyNumberFormat="1" applyFont="1" applyFill="1" applyBorder="1" applyAlignment="1" applyProtection="1">
      <alignment horizontal="center" vertical="center" shrinkToFit="1"/>
      <protection hidden="1"/>
    </xf>
    <xf numFmtId="180" fontId="3" fillId="0" borderId="32" xfId="0" applyNumberFormat="1" applyFont="1" applyFill="1" applyBorder="1" applyAlignment="1" applyProtection="1">
      <alignment horizontal="center" vertical="center" shrinkToFit="1"/>
      <protection hidden="1"/>
    </xf>
    <xf numFmtId="180" fontId="3" fillId="0" borderId="49" xfId="0" applyNumberFormat="1" applyFont="1" applyFill="1" applyBorder="1" applyAlignment="1" applyProtection="1">
      <alignment horizontal="center" vertical="center" shrinkToFit="1"/>
      <protection hidden="1"/>
    </xf>
    <xf numFmtId="0" fontId="12" fillId="0" borderId="25" xfId="0" applyFont="1" applyFill="1" applyBorder="1" applyAlignment="1" applyProtection="1">
      <alignment horizontal="center" vertical="center" wrapText="1"/>
      <protection hidden="1"/>
    </xf>
    <xf numFmtId="0" fontId="12" fillId="0" borderId="25" xfId="0" applyFont="1" applyFill="1" applyBorder="1" applyAlignment="1" applyProtection="1">
      <alignment horizontal="center" vertical="center" shrinkToFit="1"/>
      <protection hidden="1"/>
    </xf>
    <xf numFmtId="0" fontId="12" fillId="0" borderId="26" xfId="0" applyFont="1" applyFill="1" applyBorder="1" applyAlignment="1" applyProtection="1">
      <alignment horizontal="center" vertical="center" shrinkToFit="1"/>
      <protection hidden="1"/>
    </xf>
    <xf numFmtId="0" fontId="12" fillId="0" borderId="27" xfId="0" applyFont="1" applyFill="1" applyBorder="1" applyAlignment="1" applyProtection="1">
      <alignment horizontal="center" vertical="center" shrinkToFit="1"/>
      <protection hidden="1"/>
    </xf>
    <xf numFmtId="0" fontId="6" fillId="0" borderId="11"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180" fontId="12" fillId="0" borderId="8"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9" xfId="0" applyNumberFormat="1" applyFont="1" applyBorder="1" applyAlignment="1" applyProtection="1">
      <alignment horizontal="center" vertical="center" shrinkToFit="1"/>
      <protection hidden="1"/>
    </xf>
    <xf numFmtId="180" fontId="12" fillId="0" borderId="25" xfId="0" applyNumberFormat="1" applyFont="1" applyBorder="1" applyAlignment="1" applyProtection="1">
      <alignment horizontal="center" vertical="center" shrinkToFit="1"/>
      <protection hidden="1"/>
    </xf>
    <xf numFmtId="180" fontId="12" fillId="0" borderId="26" xfId="0" applyNumberFormat="1" applyFont="1" applyBorder="1" applyAlignment="1" applyProtection="1">
      <alignment horizontal="center" vertical="center" shrinkToFit="1"/>
      <protection hidden="1"/>
    </xf>
    <xf numFmtId="180" fontId="12" fillId="0" borderId="27" xfId="0" applyNumberFormat="1" applyFont="1" applyBorder="1" applyAlignment="1" applyProtection="1">
      <alignment horizontal="center" vertical="center" shrinkToFit="1"/>
      <protection hidden="1"/>
    </xf>
    <xf numFmtId="0" fontId="89" fillId="0" borderId="11" xfId="0" applyFont="1" applyBorder="1" applyAlignment="1" applyProtection="1">
      <alignment horizontal="center" vertical="center" wrapText="1"/>
      <protection hidden="1"/>
    </xf>
    <xf numFmtId="0" fontId="89" fillId="0" borderId="15" xfId="0" applyFont="1" applyBorder="1" applyAlignment="1" applyProtection="1">
      <alignment horizontal="center" vertical="center" wrapText="1"/>
      <protection hidden="1"/>
    </xf>
    <xf numFmtId="0" fontId="89" fillId="0" borderId="10" xfId="0" applyFont="1" applyBorder="1" applyAlignment="1" applyProtection="1">
      <alignment horizontal="center" vertical="center" wrapText="1"/>
      <protection hidden="1"/>
    </xf>
    <xf numFmtId="185" fontId="12" fillId="0" borderId="46" xfId="0" applyNumberFormat="1" applyFont="1" applyFill="1" applyBorder="1" applyAlignment="1" applyProtection="1">
      <alignment horizontal="center" vertical="center" wrapText="1"/>
      <protection hidden="1"/>
    </xf>
    <xf numFmtId="185" fontId="12" fillId="0" borderId="28" xfId="0" applyNumberFormat="1" applyFont="1" applyFill="1" applyBorder="1" applyAlignment="1" applyProtection="1">
      <alignment horizontal="center" vertical="center" wrapText="1"/>
      <protection hidden="1"/>
    </xf>
    <xf numFmtId="185" fontId="12" fillId="0" borderId="29" xfId="0" applyNumberFormat="1" applyFont="1" applyFill="1" applyBorder="1" applyAlignment="1" applyProtection="1">
      <alignment horizontal="center" vertical="center" wrapText="1"/>
      <protection hidden="1"/>
    </xf>
    <xf numFmtId="180" fontId="6" fillId="0" borderId="17" xfId="0" applyNumberFormat="1" applyFont="1" applyFill="1" applyBorder="1" applyAlignment="1" applyProtection="1">
      <alignment horizontal="center" vertical="center" wrapText="1" shrinkToFit="1"/>
      <protection hidden="1"/>
    </xf>
    <xf numFmtId="180" fontId="6" fillId="0" borderId="32" xfId="0" applyNumberFormat="1" applyFont="1" applyFill="1" applyBorder="1" applyAlignment="1" applyProtection="1">
      <alignment horizontal="center" vertical="center" wrapText="1" shrinkToFit="1"/>
      <protection hidden="1"/>
    </xf>
    <xf numFmtId="0" fontId="13" fillId="0" borderId="0"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53" fillId="0" borderId="0" xfId="0" applyFont="1" applyBorder="1" applyAlignment="1" applyProtection="1">
      <alignment horizontal="right" vertical="center" wrapText="1"/>
      <protection hidden="1"/>
    </xf>
    <xf numFmtId="0" fontId="53" fillId="0" borderId="2" xfId="0" applyFont="1" applyBorder="1" applyAlignment="1" applyProtection="1">
      <alignment horizontal="right" vertical="center" wrapText="1"/>
      <protection hidden="1"/>
    </xf>
    <xf numFmtId="0" fontId="15" fillId="0" borderId="0" xfId="0"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27" fillId="0" borderId="0" xfId="0" applyFont="1" applyBorder="1" applyAlignment="1" applyProtection="1">
      <alignment horizontal="right" vertical="top" textRotation="255" wrapText="1"/>
      <protection hidden="1"/>
    </xf>
    <xf numFmtId="0" fontId="4" fillId="0" borderId="8" xfId="0" applyFont="1" applyFill="1" applyBorder="1" applyAlignment="1" applyProtection="1">
      <alignment horizontal="distributed" vertical="distributed" wrapText="1" indent="1"/>
      <protection hidden="1"/>
    </xf>
    <xf numFmtId="0" fontId="4" fillId="0" borderId="9" xfId="0" applyFont="1" applyFill="1" applyBorder="1" applyAlignment="1" applyProtection="1">
      <alignment horizontal="distributed" vertical="distributed" wrapText="1" indent="1"/>
      <protection hidden="1"/>
    </xf>
    <xf numFmtId="0" fontId="4" fillId="0" borderId="3" xfId="0" applyFont="1" applyFill="1" applyBorder="1" applyAlignment="1" applyProtection="1">
      <alignment horizontal="distributed" vertical="distributed" wrapText="1" indent="1"/>
      <protection hidden="1"/>
    </xf>
    <xf numFmtId="0" fontId="4" fillId="0" borderId="2" xfId="0" applyFont="1" applyFill="1" applyBorder="1" applyAlignment="1" applyProtection="1">
      <alignment horizontal="distributed" vertical="distributed" wrapText="1" indent="1"/>
      <protection hidden="1"/>
    </xf>
    <xf numFmtId="0" fontId="4" fillId="0" borderId="5" xfId="0" applyFont="1" applyFill="1" applyBorder="1" applyAlignment="1" applyProtection="1">
      <alignment horizontal="distributed" vertical="distributed" wrapText="1" indent="1"/>
      <protection hidden="1"/>
    </xf>
    <xf numFmtId="0" fontId="4" fillId="0" borderId="6" xfId="0" applyFont="1" applyFill="1" applyBorder="1" applyAlignment="1" applyProtection="1">
      <alignment horizontal="distributed" vertical="distributed" wrapText="1" indent="1"/>
      <protection hidden="1"/>
    </xf>
    <xf numFmtId="180" fontId="13" fillId="0" borderId="17" xfId="0" applyNumberFormat="1" applyFont="1" applyFill="1" applyBorder="1" applyAlignment="1" applyProtection="1">
      <alignment horizontal="center" vertical="center" shrinkToFit="1"/>
      <protection hidden="1"/>
    </xf>
    <xf numFmtId="180" fontId="12" fillId="0" borderId="32" xfId="0" applyNumberFormat="1" applyFont="1" applyFill="1" applyBorder="1" applyAlignment="1" applyProtection="1">
      <alignment horizontal="center" vertical="center" shrinkToFit="1"/>
      <protection hidden="1"/>
    </xf>
    <xf numFmtId="180" fontId="12" fillId="0" borderId="17" xfId="0" applyNumberFormat="1" applyFont="1" applyFill="1" applyBorder="1" applyAlignment="1" applyProtection="1">
      <alignment horizontal="center" vertical="center" shrinkToFit="1"/>
      <protection hidden="1"/>
    </xf>
    <xf numFmtId="0" fontId="6" fillId="0" borderId="8"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7" fillId="0" borderId="17" xfId="0" applyFont="1" applyFill="1" applyBorder="1" applyAlignment="1" applyProtection="1">
      <alignment horizontal="center" vertical="center" shrinkToFit="1"/>
      <protection hidden="1"/>
    </xf>
    <xf numFmtId="180" fontId="4" fillId="0" borderId="17" xfId="0" applyNumberFormat="1" applyFont="1" applyFill="1" applyBorder="1" applyAlignment="1" applyProtection="1">
      <alignment horizontal="center" vertical="center" wrapText="1"/>
      <protection hidden="1"/>
    </xf>
    <xf numFmtId="180" fontId="13" fillId="0" borderId="8" xfId="0" applyNumberFormat="1" applyFont="1" applyBorder="1" applyAlignment="1" applyProtection="1">
      <alignment horizontal="left" vertical="center" shrinkToFit="1"/>
      <protection hidden="1"/>
    </xf>
    <xf numFmtId="180" fontId="13" fillId="0" borderId="14" xfId="0" applyNumberFormat="1" applyFont="1" applyBorder="1" applyAlignment="1" applyProtection="1">
      <alignment horizontal="left" vertical="center" shrinkToFit="1"/>
      <protection hidden="1"/>
    </xf>
    <xf numFmtId="180" fontId="13" fillId="0" borderId="9" xfId="0" applyNumberFormat="1" applyFont="1" applyBorder="1" applyAlignment="1" applyProtection="1">
      <alignment horizontal="left" vertical="center" shrinkToFit="1"/>
      <protection hidden="1"/>
    </xf>
    <xf numFmtId="180" fontId="13" fillId="0" borderId="5" xfId="0" applyNumberFormat="1" applyFont="1" applyBorder="1" applyAlignment="1" applyProtection="1">
      <alignment horizontal="left" vertical="center" shrinkToFit="1"/>
      <protection hidden="1"/>
    </xf>
    <xf numFmtId="180" fontId="13" fillId="0" borderId="12" xfId="0" applyNumberFormat="1" applyFont="1" applyBorder="1" applyAlignment="1" applyProtection="1">
      <alignment horizontal="left" vertical="center" shrinkToFit="1"/>
      <protection hidden="1"/>
    </xf>
    <xf numFmtId="180" fontId="13" fillId="0" borderId="6" xfId="0" applyNumberFormat="1" applyFont="1" applyBorder="1" applyAlignment="1" applyProtection="1">
      <alignment horizontal="left" vertical="center" shrinkToFit="1"/>
      <protection hidden="1"/>
    </xf>
    <xf numFmtId="176" fontId="3" fillId="0" borderId="4" xfId="0" applyNumberFormat="1" applyFont="1" applyFill="1" applyBorder="1" applyAlignment="1" applyProtection="1">
      <alignment horizontal="center" vertical="center" wrapText="1"/>
      <protection hidden="1"/>
    </xf>
    <xf numFmtId="176" fontId="3" fillId="0" borderId="30" xfId="0" applyNumberFormat="1" applyFont="1" applyFill="1" applyBorder="1" applyAlignment="1" applyProtection="1">
      <alignment horizontal="center" vertical="center" wrapText="1"/>
      <protection hidden="1"/>
    </xf>
    <xf numFmtId="176" fontId="3" fillId="0" borderId="7" xfId="0" applyNumberFormat="1" applyFont="1" applyFill="1" applyBorder="1" applyAlignment="1" applyProtection="1">
      <alignment horizontal="center" vertical="center" wrapText="1"/>
      <protection hidden="1"/>
    </xf>
    <xf numFmtId="0" fontId="23" fillId="0" borderId="21" xfId="0" applyFont="1" applyFill="1" applyBorder="1" applyAlignment="1" applyProtection="1">
      <alignment horizontal="center" vertical="center" wrapText="1"/>
      <protection hidden="1"/>
    </xf>
    <xf numFmtId="0" fontId="23" fillId="0" borderId="23"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6" fillId="0" borderId="8" xfId="0" applyFont="1" applyBorder="1" applyAlignment="1" applyProtection="1">
      <alignment horizontal="left" vertical="top" wrapText="1"/>
      <protection hidden="1"/>
    </xf>
    <xf numFmtId="0" fontId="6" fillId="0" borderId="14"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38" fillId="4" borderId="11" xfId="0" applyFont="1" applyFill="1" applyBorder="1" applyAlignment="1" applyProtection="1">
      <alignment horizontal="center" vertical="center" wrapText="1"/>
      <protection hidden="1"/>
    </xf>
    <xf numFmtId="0" fontId="38" fillId="4" borderId="15" xfId="0" applyFont="1" applyFill="1" applyBorder="1" applyAlignment="1" applyProtection="1">
      <alignment horizontal="center" vertical="center" wrapText="1"/>
      <protection hidden="1"/>
    </xf>
    <xf numFmtId="0" fontId="38" fillId="4" borderId="10" xfId="0" applyFont="1" applyFill="1" applyBorder="1" applyAlignment="1" applyProtection="1">
      <alignment horizontal="center" vertical="center" wrapText="1"/>
      <protection hidden="1"/>
    </xf>
    <xf numFmtId="0" fontId="73" fillId="4" borderId="11" xfId="0" applyFont="1" applyFill="1" applyBorder="1" applyAlignment="1" applyProtection="1">
      <alignment horizontal="right" vertical="center" wrapText="1" indent="1"/>
      <protection hidden="1"/>
    </xf>
    <xf numFmtId="0" fontId="39" fillId="4" borderId="15" xfId="0" applyFont="1" applyFill="1" applyBorder="1" applyAlignment="1" applyProtection="1">
      <alignment horizontal="right" vertical="center" wrapText="1" indent="1"/>
      <protection hidden="1"/>
    </xf>
    <xf numFmtId="0" fontId="39" fillId="4" borderId="10" xfId="0" applyFont="1" applyFill="1" applyBorder="1" applyAlignment="1" applyProtection="1">
      <alignment horizontal="right" vertical="center" wrapText="1" indent="1"/>
      <protection hidden="1"/>
    </xf>
    <xf numFmtId="0" fontId="3" fillId="0" borderId="1" xfId="0" applyFont="1" applyBorder="1" applyAlignment="1" applyProtection="1">
      <alignment horizontal="center" vertical="center" wrapText="1"/>
      <protection hidden="1"/>
    </xf>
    <xf numFmtId="180" fontId="13" fillId="0" borderId="11" xfId="0" applyNumberFormat="1" applyFont="1" applyBorder="1" applyAlignment="1" applyProtection="1">
      <alignment horizontal="center" vertical="center" wrapText="1"/>
      <protection hidden="1"/>
    </xf>
    <xf numFmtId="180" fontId="13" fillId="0" borderId="15" xfId="0" applyNumberFormat="1" applyFont="1" applyBorder="1" applyAlignment="1" applyProtection="1">
      <alignment horizontal="center" vertical="center" wrapText="1"/>
      <protection hidden="1"/>
    </xf>
    <xf numFmtId="180" fontId="13" fillId="0" borderId="10" xfId="0" applyNumberFormat="1"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180" fontId="13" fillId="0" borderId="1" xfId="0" applyNumberFormat="1" applyFont="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183" fontId="13" fillId="0" borderId="21" xfId="0" applyNumberFormat="1" applyFont="1" applyFill="1" applyBorder="1" applyAlignment="1" applyProtection="1">
      <alignment horizontal="right" vertical="center" wrapText="1"/>
      <protection hidden="1"/>
    </xf>
    <xf numFmtId="183" fontId="13" fillId="0" borderId="23" xfId="0" applyNumberFormat="1" applyFont="1" applyFill="1" applyBorder="1" applyAlignment="1" applyProtection="1">
      <alignment horizontal="right" vertical="center" wrapText="1"/>
      <protection hidden="1"/>
    </xf>
    <xf numFmtId="183" fontId="13" fillId="0" borderId="25" xfId="0" applyNumberFormat="1" applyFont="1" applyFill="1" applyBorder="1" applyAlignment="1" applyProtection="1">
      <alignment horizontal="right" vertical="center" wrapText="1"/>
      <protection hidden="1"/>
    </xf>
    <xf numFmtId="0" fontId="12" fillId="0" borderId="11" xfId="0" applyFont="1" applyFill="1" applyBorder="1" applyAlignment="1" applyProtection="1">
      <alignment horizontal="center" vertical="center" wrapText="1"/>
      <protection hidden="1"/>
    </xf>
    <xf numFmtId="0" fontId="12" fillId="0" borderId="15"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4" xfId="0" applyFont="1" applyFill="1" applyBorder="1" applyAlignment="1" applyProtection="1">
      <alignment horizontal="center" vertical="center" wrapText="1"/>
      <protection hidden="1"/>
    </xf>
    <xf numFmtId="0" fontId="12" fillId="0" borderId="11" xfId="0" applyFont="1" applyBorder="1" applyAlignment="1" applyProtection="1">
      <alignment horizontal="distributed" vertical="center" wrapText="1" indent="1"/>
      <protection hidden="1"/>
    </xf>
    <xf numFmtId="0" fontId="12" fillId="0" borderId="15" xfId="0" applyFont="1" applyBorder="1" applyAlignment="1" applyProtection="1">
      <alignment horizontal="distributed" vertical="center" wrapText="1" indent="1"/>
      <protection hidden="1"/>
    </xf>
    <xf numFmtId="0" fontId="12" fillId="0" borderId="10" xfId="0" applyFont="1" applyBorder="1" applyAlignment="1" applyProtection="1">
      <alignment horizontal="distributed" vertical="center" wrapText="1" indent="1"/>
      <protection hidden="1"/>
    </xf>
    <xf numFmtId="0" fontId="12" fillId="0" borderId="8" xfId="0" applyFont="1" applyBorder="1" applyAlignment="1" applyProtection="1">
      <alignment horizontal="distributed" vertical="center" wrapText="1" indent="1"/>
      <protection hidden="1"/>
    </xf>
    <xf numFmtId="0" fontId="12" fillId="0" borderId="14" xfId="0" applyFont="1" applyBorder="1" applyAlignment="1" applyProtection="1">
      <alignment horizontal="distributed" vertical="center" wrapText="1" indent="1"/>
      <protection hidden="1"/>
    </xf>
    <xf numFmtId="0" fontId="12" fillId="0" borderId="9" xfId="0" applyFont="1" applyBorder="1" applyAlignment="1" applyProtection="1">
      <alignment horizontal="distributed" vertical="center" wrapText="1" indent="1"/>
      <protection hidden="1"/>
    </xf>
    <xf numFmtId="0" fontId="12" fillId="0" borderId="5" xfId="0" applyFont="1" applyBorder="1" applyAlignment="1" applyProtection="1">
      <alignment horizontal="distributed" vertical="center" wrapText="1" indent="1"/>
      <protection hidden="1"/>
    </xf>
    <xf numFmtId="0" fontId="12" fillId="0" borderId="12" xfId="0" applyFont="1" applyBorder="1" applyAlignment="1" applyProtection="1">
      <alignment horizontal="distributed" vertical="center" wrapText="1" indent="1"/>
      <protection hidden="1"/>
    </xf>
    <xf numFmtId="0" fontId="12" fillId="0" borderId="6" xfId="0" applyFont="1" applyBorder="1" applyAlignment="1" applyProtection="1">
      <alignment horizontal="distributed" vertical="center" wrapText="1" indent="1"/>
      <protection hidden="1"/>
    </xf>
    <xf numFmtId="0" fontId="12" fillId="0" borderId="22"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4" fillId="0" borderId="9" xfId="0" applyFont="1" applyFill="1" applyBorder="1" applyAlignment="1" applyProtection="1">
      <alignment horizontal="left" vertical="top" wrapText="1"/>
      <protection hidden="1"/>
    </xf>
    <xf numFmtId="183" fontId="13" fillId="0" borderId="22" xfId="0" applyNumberFormat="1" applyFont="1" applyFill="1" applyBorder="1" applyAlignment="1" applyProtection="1">
      <alignment horizontal="right" vertical="center" wrapText="1"/>
      <protection hidden="1"/>
    </xf>
    <xf numFmtId="0" fontId="3" fillId="0" borderId="32" xfId="0" applyFont="1" applyFill="1" applyBorder="1" applyAlignment="1" applyProtection="1">
      <alignment horizontal="distributed" vertical="center" indent="1"/>
      <protection hidden="1"/>
    </xf>
    <xf numFmtId="0" fontId="3" fillId="0" borderId="49" xfId="0" applyFont="1" applyFill="1" applyBorder="1" applyAlignment="1" applyProtection="1">
      <alignment horizontal="distributed" vertical="center" indent="1"/>
      <protection hidden="1"/>
    </xf>
    <xf numFmtId="0" fontId="13" fillId="0" borderId="25" xfId="0" applyFont="1" applyFill="1" applyBorder="1" applyAlignment="1" applyProtection="1">
      <alignment horizontal="center" vertical="center" wrapText="1"/>
      <protection hidden="1"/>
    </xf>
    <xf numFmtId="0" fontId="13" fillId="0" borderId="26" xfId="0" applyFont="1" applyFill="1" applyBorder="1" applyAlignment="1" applyProtection="1">
      <alignment horizontal="center" vertical="center" wrapText="1"/>
      <protection hidden="1"/>
    </xf>
    <xf numFmtId="0" fontId="13" fillId="0" borderId="27"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shrinkToFit="1"/>
      <protection hidden="1"/>
    </xf>
    <xf numFmtId="0" fontId="6" fillId="0" borderId="47" xfId="0" applyFont="1" applyBorder="1" applyAlignment="1" applyProtection="1">
      <alignment horizontal="center" vertical="center" wrapText="1" shrinkToFit="1"/>
      <protection hidden="1"/>
    </xf>
    <xf numFmtId="0" fontId="6" fillId="0" borderId="5" xfId="0" applyFont="1" applyBorder="1" applyAlignment="1" applyProtection="1">
      <alignment horizontal="center" vertical="center" wrapText="1" shrinkToFit="1"/>
      <protection hidden="1"/>
    </xf>
    <xf numFmtId="0" fontId="6" fillId="0" borderId="20" xfId="0" applyFont="1" applyBorder="1" applyAlignment="1" applyProtection="1">
      <alignment horizontal="center" vertical="center" wrapText="1" shrinkToFit="1"/>
      <protection hidden="1"/>
    </xf>
    <xf numFmtId="0" fontId="13" fillId="0" borderId="46" xfId="0" applyFont="1" applyBorder="1" applyAlignment="1" applyProtection="1">
      <alignment horizontal="center" vertical="center" shrinkToFit="1"/>
      <protection hidden="1"/>
    </xf>
    <xf numFmtId="0" fontId="13" fillId="0" borderId="28" xfId="0" applyFont="1" applyBorder="1" applyAlignment="1" applyProtection="1">
      <alignment horizontal="center" vertical="center" shrinkToFit="1"/>
      <protection hidden="1"/>
    </xf>
    <xf numFmtId="180" fontId="13" fillId="0" borderId="28" xfId="0" applyNumberFormat="1" applyFont="1" applyBorder="1" applyAlignment="1" applyProtection="1">
      <alignment horizontal="center" vertical="center" shrinkToFit="1"/>
      <protection hidden="1"/>
    </xf>
    <xf numFmtId="0" fontId="12" fillId="0" borderId="36" xfId="0" applyFont="1" applyBorder="1" applyAlignment="1" applyProtection="1">
      <alignment horizontal="center" vertical="center" shrinkToFit="1"/>
      <protection hidden="1"/>
    </xf>
    <xf numFmtId="0" fontId="12" fillId="0" borderId="23" xfId="0" applyFont="1" applyBorder="1" applyAlignment="1" applyProtection="1">
      <alignment horizontal="center" vertical="center" shrinkToFit="1"/>
      <protection hidden="1"/>
    </xf>
    <xf numFmtId="0" fontId="12" fillId="0" borderId="30" xfId="0" applyFont="1" applyFill="1" applyBorder="1" applyAlignment="1" applyProtection="1">
      <alignment horizontal="distributed" vertical="distributed" wrapText="1" indent="1"/>
      <protection hidden="1"/>
    </xf>
    <xf numFmtId="0" fontId="12" fillId="0" borderId="7" xfId="0" applyFont="1" applyFill="1" applyBorder="1" applyAlignment="1" applyProtection="1">
      <alignment horizontal="distributed" vertical="distributed" wrapText="1" indent="1"/>
      <protection hidden="1"/>
    </xf>
    <xf numFmtId="0" fontId="23" fillId="0" borderId="25" xfId="0" applyFont="1" applyFill="1" applyBorder="1" applyAlignment="1" applyProtection="1">
      <alignment horizontal="center" vertical="center" wrapText="1"/>
      <protection hidden="1"/>
    </xf>
    <xf numFmtId="0" fontId="23" fillId="0" borderId="26" xfId="0" applyFont="1" applyFill="1" applyBorder="1" applyAlignment="1" applyProtection="1">
      <alignment horizontal="center" vertical="center" wrapText="1"/>
      <protection hidden="1"/>
    </xf>
    <xf numFmtId="0" fontId="23" fillId="0" borderId="27"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distributed" vertical="center" wrapText="1" indent="1"/>
      <protection hidden="1"/>
    </xf>
    <xf numFmtId="0" fontId="3" fillId="0" borderId="17" xfId="0" applyFont="1" applyFill="1" applyBorder="1" applyAlignment="1" applyProtection="1">
      <alignment horizontal="distributed" vertical="center" wrapText="1" indent="1"/>
      <protection hidden="1"/>
    </xf>
    <xf numFmtId="0" fontId="3" fillId="0" borderId="48" xfId="0" applyFont="1" applyFill="1" applyBorder="1" applyAlignment="1" applyProtection="1">
      <alignment horizontal="distributed" vertical="center" wrapText="1" indent="1"/>
      <protection hidden="1"/>
    </xf>
    <xf numFmtId="0" fontId="22" fillId="0" borderId="31" xfId="0" applyFont="1" applyFill="1" applyBorder="1" applyAlignment="1" applyProtection="1">
      <alignment horizontal="distributed" vertical="center" wrapText="1" indent="1"/>
      <protection hidden="1"/>
    </xf>
    <xf numFmtId="0" fontId="22" fillId="0" borderId="32" xfId="0" applyFont="1" applyFill="1" applyBorder="1" applyAlignment="1" applyProtection="1">
      <alignment horizontal="distributed" vertical="center" wrapText="1" indent="1"/>
      <protection hidden="1"/>
    </xf>
    <xf numFmtId="0" fontId="22" fillId="0" borderId="49" xfId="0" applyFont="1" applyFill="1" applyBorder="1" applyAlignment="1" applyProtection="1">
      <alignment horizontal="distributed" vertical="center" wrapText="1" indent="1"/>
      <protection hidden="1"/>
    </xf>
    <xf numFmtId="0" fontId="24" fillId="0" borderId="25" xfId="0" applyFont="1" applyFill="1" applyBorder="1" applyAlignment="1" applyProtection="1">
      <alignment horizontal="center" vertical="center" wrapText="1"/>
      <protection hidden="1"/>
    </xf>
    <xf numFmtId="0" fontId="24" fillId="0" borderId="26"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distributed" vertical="center" wrapText="1" indent="1"/>
      <protection hidden="1"/>
    </xf>
    <xf numFmtId="0" fontId="22" fillId="0" borderId="48" xfId="0" applyFont="1" applyFill="1" applyBorder="1" applyAlignment="1" applyProtection="1">
      <alignment horizontal="distributed" vertical="center" wrapText="1" indent="1"/>
      <protection hidden="1"/>
    </xf>
    <xf numFmtId="180" fontId="12" fillId="0" borderId="26" xfId="0" applyNumberFormat="1" applyFont="1" applyFill="1" applyBorder="1" applyAlignment="1" applyProtection="1">
      <alignment horizontal="center" vertical="center" shrinkToFit="1"/>
      <protection hidden="1"/>
    </xf>
    <xf numFmtId="180" fontId="12" fillId="0" borderId="27" xfId="0" applyNumberFormat="1" applyFont="1" applyFill="1" applyBorder="1" applyAlignment="1" applyProtection="1">
      <alignment horizontal="center" vertical="center" shrinkToFit="1"/>
      <protection hidden="1"/>
    </xf>
    <xf numFmtId="180" fontId="12" fillId="0" borderId="25" xfId="0" applyNumberFormat="1" applyFont="1" applyFill="1" applyBorder="1" applyAlignment="1" applyProtection="1">
      <alignment horizontal="center" vertical="center" shrinkToFit="1"/>
      <protection hidden="1"/>
    </xf>
    <xf numFmtId="0" fontId="12" fillId="0" borderId="3"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center" vertical="center" wrapText="1"/>
      <protection hidden="1"/>
    </xf>
    <xf numFmtId="183" fontId="13" fillId="0" borderId="5" xfId="0" applyNumberFormat="1" applyFont="1" applyFill="1" applyBorder="1" applyAlignment="1" applyProtection="1">
      <alignment vertical="top" wrapText="1"/>
      <protection hidden="1"/>
    </xf>
    <xf numFmtId="183" fontId="13" fillId="0" borderId="12" xfId="0" applyNumberFormat="1" applyFont="1" applyFill="1" applyBorder="1" applyAlignment="1" applyProtection="1">
      <alignment vertical="top" wrapText="1"/>
      <protection hidden="1"/>
    </xf>
    <xf numFmtId="0" fontId="3" fillId="0" borderId="3" xfId="0" applyFont="1" applyFill="1" applyBorder="1" applyAlignment="1" applyProtection="1">
      <alignment horizontal="distributed" vertical="distributed" wrapText="1" indent="1"/>
      <protection hidden="1"/>
    </xf>
    <xf numFmtId="0" fontId="3" fillId="0" borderId="2" xfId="0" applyFont="1" applyFill="1" applyBorder="1" applyAlignment="1" applyProtection="1">
      <alignment horizontal="distributed" vertical="distributed" wrapText="1" indent="1"/>
      <protection hidden="1"/>
    </xf>
    <xf numFmtId="0" fontId="3" fillId="0" borderId="5" xfId="0" applyFont="1" applyFill="1" applyBorder="1" applyAlignment="1" applyProtection="1">
      <alignment horizontal="distributed" vertical="distributed" wrapText="1" indent="1"/>
      <protection hidden="1"/>
    </xf>
    <xf numFmtId="0" fontId="3" fillId="0" borderId="6" xfId="0" applyFont="1" applyFill="1" applyBorder="1" applyAlignment="1" applyProtection="1">
      <alignment horizontal="distributed" vertical="distributed" wrapText="1" indent="1"/>
      <protection hidden="1"/>
    </xf>
    <xf numFmtId="183" fontId="13" fillId="0" borderId="5" xfId="0" applyNumberFormat="1" applyFont="1" applyFill="1" applyBorder="1" applyAlignment="1" applyProtection="1">
      <alignment horizontal="right" vertical="center" wrapText="1"/>
      <protection hidden="1"/>
    </xf>
    <xf numFmtId="183" fontId="13" fillId="0" borderId="12" xfId="0" applyNumberFormat="1" applyFont="1" applyFill="1" applyBorder="1" applyAlignment="1" applyProtection="1">
      <alignment horizontal="right" vertical="center" wrapText="1"/>
      <protection hidden="1"/>
    </xf>
    <xf numFmtId="176" fontId="3" fillId="0" borderId="16" xfId="0" applyNumberFormat="1" applyFont="1" applyFill="1" applyBorder="1" applyAlignment="1" applyProtection="1">
      <alignment horizontal="center" vertical="center" wrapText="1"/>
      <protection hidden="1"/>
    </xf>
    <xf numFmtId="176" fontId="3" fillId="0" borderId="31" xfId="0" applyNumberFormat="1" applyFont="1" applyFill="1" applyBorder="1" applyAlignment="1" applyProtection="1">
      <alignment horizontal="center" vertical="center" wrapText="1"/>
      <protection hidden="1"/>
    </xf>
    <xf numFmtId="176" fontId="3" fillId="0" borderId="18" xfId="0" applyNumberFormat="1" applyFont="1" applyFill="1" applyBorder="1" applyAlignment="1" applyProtection="1">
      <alignment horizontal="center" vertical="center" wrapText="1"/>
      <protection hidden="1"/>
    </xf>
    <xf numFmtId="180" fontId="3" fillId="0" borderId="19" xfId="0" applyNumberFormat="1" applyFont="1" applyFill="1" applyBorder="1" applyAlignment="1" applyProtection="1">
      <alignment horizontal="center" vertical="center" wrapText="1"/>
      <protection hidden="1"/>
    </xf>
    <xf numFmtId="180" fontId="3" fillId="0" borderId="50" xfId="0" applyNumberFormat="1" applyFont="1" applyFill="1" applyBorder="1" applyAlignment="1" applyProtection="1">
      <alignment horizontal="center" vertical="center" wrapText="1"/>
      <protection hidden="1"/>
    </xf>
    <xf numFmtId="0" fontId="3" fillId="0" borderId="9" xfId="0" applyFont="1" applyFill="1" applyBorder="1" applyAlignment="1" applyProtection="1">
      <alignment horizontal="right" vertical="top"/>
      <protection hidden="1"/>
    </xf>
    <xf numFmtId="0" fontId="3" fillId="0" borderId="6" xfId="0" applyFont="1" applyFill="1" applyBorder="1" applyAlignment="1" applyProtection="1">
      <alignment horizontal="right" vertical="top"/>
      <protection hidden="1"/>
    </xf>
    <xf numFmtId="183" fontId="13" fillId="0" borderId="5" xfId="0" applyNumberFormat="1" applyFont="1" applyFill="1" applyBorder="1" applyAlignment="1" applyProtection="1">
      <alignment vertical="center" wrapText="1"/>
      <protection hidden="1"/>
    </xf>
    <xf numFmtId="183" fontId="13" fillId="0" borderId="12" xfId="0" applyNumberFormat="1" applyFont="1" applyFill="1" applyBorder="1" applyAlignment="1" applyProtection="1">
      <alignment vertical="center" wrapText="1"/>
      <protection hidden="1"/>
    </xf>
    <xf numFmtId="0" fontId="4" fillId="0" borderId="5"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6" xfId="0" applyFont="1" applyFill="1" applyBorder="1" applyAlignment="1" applyProtection="1">
      <alignment horizontal="left" vertical="top" wrapText="1"/>
      <protection hidden="1"/>
    </xf>
    <xf numFmtId="0" fontId="13" fillId="0" borderId="22" xfId="0" applyFont="1" applyFill="1" applyBorder="1" applyAlignment="1" applyProtection="1">
      <alignment horizontal="center" vertical="center" wrapText="1"/>
      <protection hidden="1"/>
    </xf>
    <xf numFmtId="0" fontId="13" fillId="0" borderId="28" xfId="0" applyFont="1" applyFill="1" applyBorder="1" applyAlignment="1" applyProtection="1">
      <alignment horizontal="center" vertical="center" wrapText="1"/>
      <protection hidden="1"/>
    </xf>
    <xf numFmtId="0" fontId="13" fillId="0" borderId="29" xfId="0" applyFont="1" applyFill="1" applyBorder="1" applyAlignment="1" applyProtection="1">
      <alignment horizontal="center" vertical="center" wrapText="1"/>
      <protection hidden="1"/>
    </xf>
    <xf numFmtId="0" fontId="24" fillId="0" borderId="21" xfId="0" applyFont="1" applyFill="1" applyBorder="1" applyAlignment="1" applyProtection="1">
      <alignment horizontal="center" vertical="center" wrapText="1"/>
      <protection hidden="1"/>
    </xf>
    <xf numFmtId="0" fontId="24" fillId="0" borderId="23" xfId="0" applyFont="1" applyFill="1" applyBorder="1" applyAlignment="1" applyProtection="1">
      <alignment horizontal="center" vertical="center" wrapText="1"/>
      <protection hidden="1"/>
    </xf>
    <xf numFmtId="0" fontId="24" fillId="0" borderId="24" xfId="0" applyFont="1" applyFill="1" applyBorder="1" applyAlignment="1" applyProtection="1">
      <alignment horizontal="center" vertical="center" wrapText="1"/>
      <protection hidden="1"/>
    </xf>
    <xf numFmtId="0" fontId="12" fillId="0" borderId="46" xfId="0" applyFont="1" applyFill="1" applyBorder="1" applyAlignment="1" applyProtection="1">
      <alignment horizontal="right" vertical="center" wrapText="1"/>
      <protection hidden="1"/>
    </xf>
    <xf numFmtId="0" fontId="12" fillId="0" borderId="28" xfId="0" applyFont="1" applyFill="1" applyBorder="1" applyAlignment="1" applyProtection="1">
      <alignment horizontal="right" vertical="center" wrapText="1"/>
      <protection hidden="1"/>
    </xf>
    <xf numFmtId="0" fontId="6" fillId="0" borderId="55"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left" vertical="center" shrinkToFit="1"/>
      <protection hidden="1"/>
    </xf>
    <xf numFmtId="0" fontId="4" fillId="0" borderId="29" xfId="0" applyFont="1" applyFill="1" applyBorder="1" applyAlignment="1" applyProtection="1">
      <alignment horizontal="left" vertical="center" shrinkToFit="1"/>
      <protection hidden="1"/>
    </xf>
    <xf numFmtId="0" fontId="64" fillId="4" borderId="0" xfId="0" applyFont="1" applyFill="1" applyAlignment="1" applyProtection="1">
      <alignment horizontal="center"/>
      <protection hidden="1"/>
    </xf>
    <xf numFmtId="184" fontId="12" fillId="0" borderId="11" xfId="0" applyNumberFormat="1" applyFont="1" applyFill="1" applyBorder="1" applyAlignment="1" applyProtection="1">
      <alignment vertical="center" wrapText="1"/>
      <protection hidden="1"/>
    </xf>
    <xf numFmtId="184" fontId="12" fillId="0" borderId="15" xfId="0" applyNumberFormat="1" applyFont="1" applyFill="1" applyBorder="1" applyAlignment="1" applyProtection="1">
      <alignment vertical="center" wrapText="1"/>
      <protection hidden="1"/>
    </xf>
    <xf numFmtId="184" fontId="12" fillId="0" borderId="22" xfId="0" applyNumberFormat="1" applyFont="1" applyFill="1" applyBorder="1" applyAlignment="1" applyProtection="1">
      <alignment horizontal="right" vertical="center" wrapText="1"/>
      <protection hidden="1"/>
    </xf>
    <xf numFmtId="184" fontId="12" fillId="0" borderId="28" xfId="0" applyNumberFormat="1" applyFont="1" applyFill="1" applyBorder="1" applyAlignment="1" applyProtection="1">
      <alignment horizontal="right" vertical="center" wrapText="1"/>
      <protection hidden="1"/>
    </xf>
    <xf numFmtId="184" fontId="12" fillId="0" borderId="25" xfId="0" applyNumberFormat="1" applyFont="1" applyFill="1" applyBorder="1" applyAlignment="1" applyProtection="1">
      <alignment horizontal="right" vertical="center" wrapText="1"/>
      <protection hidden="1"/>
    </xf>
    <xf numFmtId="184" fontId="12" fillId="0" borderId="26" xfId="0" applyNumberFormat="1" applyFont="1" applyFill="1" applyBorder="1" applyAlignment="1" applyProtection="1">
      <alignment horizontal="right" vertical="center" wrapText="1"/>
      <protection hidden="1"/>
    </xf>
    <xf numFmtId="184" fontId="12" fillId="0" borderId="21" xfId="0" applyNumberFormat="1" applyFont="1" applyFill="1" applyBorder="1" applyAlignment="1" applyProtection="1">
      <alignment horizontal="right" vertical="center" wrapText="1"/>
      <protection hidden="1"/>
    </xf>
    <xf numFmtId="184" fontId="12" fillId="0" borderId="23" xfId="0" applyNumberFormat="1" applyFont="1" applyFill="1" applyBorder="1" applyAlignment="1" applyProtection="1">
      <alignment horizontal="right" vertical="center" wrapText="1"/>
      <protection hidden="1"/>
    </xf>
    <xf numFmtId="183" fontId="13" fillId="0" borderId="8" xfId="0" applyNumberFormat="1" applyFont="1" applyFill="1" applyBorder="1" applyAlignment="1" applyProtection="1">
      <alignment vertical="center" wrapText="1"/>
      <protection hidden="1"/>
    </xf>
    <xf numFmtId="183" fontId="13" fillId="0" borderId="14" xfId="0" applyNumberFormat="1" applyFont="1" applyFill="1" applyBorder="1" applyAlignment="1" applyProtection="1">
      <alignment vertical="center" wrapText="1"/>
      <protection hidden="1"/>
    </xf>
    <xf numFmtId="180" fontId="4" fillId="0" borderId="0" xfId="0" applyNumberFormat="1" applyFont="1" applyFill="1" applyBorder="1" applyAlignment="1" applyProtection="1">
      <alignment horizontal="center" vertical="center" wrapText="1"/>
      <protection hidden="1"/>
    </xf>
    <xf numFmtId="180" fontId="4" fillId="0" borderId="2" xfId="0" applyNumberFormat="1" applyFont="1" applyFill="1" applyBorder="1" applyAlignment="1" applyProtection="1">
      <alignment horizontal="center" vertical="center" wrapText="1"/>
      <protection hidden="1"/>
    </xf>
    <xf numFmtId="180" fontId="4" fillId="0" borderId="12" xfId="0" applyNumberFormat="1" applyFont="1" applyFill="1" applyBorder="1" applyAlignment="1" applyProtection="1">
      <alignment horizontal="center" vertical="center" wrapText="1"/>
      <protection hidden="1"/>
    </xf>
    <xf numFmtId="180" fontId="4" fillId="0" borderId="6" xfId="0" applyNumberFormat="1"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shrinkToFit="1"/>
      <protection hidden="1"/>
    </xf>
    <xf numFmtId="0" fontId="4" fillId="0" borderId="48"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right" vertical="center" wrapText="1"/>
      <protection hidden="1"/>
    </xf>
    <xf numFmtId="0" fontId="3" fillId="0" borderId="12"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wrapText="1"/>
      <protection hidden="1"/>
    </xf>
    <xf numFmtId="0" fontId="4" fillId="0" borderId="2" xfId="0" applyFont="1" applyFill="1" applyBorder="1" applyAlignment="1" applyProtection="1">
      <alignment horizontal="left" vertical="center" wrapText="1"/>
      <protection hidden="1"/>
    </xf>
    <xf numFmtId="185" fontId="12" fillId="0" borderId="55" xfId="0" applyNumberFormat="1" applyFont="1" applyFill="1" applyBorder="1" applyAlignment="1" applyProtection="1">
      <alignment horizontal="center" vertical="center" wrapText="1"/>
      <protection hidden="1"/>
    </xf>
    <xf numFmtId="180" fontId="3" fillId="0" borderId="32" xfId="0" applyNumberFormat="1" applyFont="1" applyFill="1" applyBorder="1" applyAlignment="1" applyProtection="1">
      <alignment horizontal="center" vertical="center" wrapText="1"/>
      <protection hidden="1"/>
    </xf>
    <xf numFmtId="180" fontId="3" fillId="0" borderId="11" xfId="0" applyNumberFormat="1" applyFont="1" applyBorder="1" applyAlignment="1" applyProtection="1">
      <alignment horizontal="center" vertical="center" shrinkToFit="1"/>
      <protection hidden="1"/>
    </xf>
    <xf numFmtId="180" fontId="3" fillId="0" borderId="15" xfId="0" applyNumberFormat="1" applyFont="1" applyBorder="1" applyAlignment="1" applyProtection="1">
      <alignment horizontal="center" vertical="center" shrinkToFit="1"/>
      <protection hidden="1"/>
    </xf>
    <xf numFmtId="180" fontId="3" fillId="0" borderId="10" xfId="0" applyNumberFormat="1" applyFont="1" applyBorder="1" applyAlignment="1" applyProtection="1">
      <alignment horizontal="center" vertical="center" shrinkToFit="1"/>
      <protection hidden="1"/>
    </xf>
    <xf numFmtId="0" fontId="6" fillId="0" borderId="59"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180" fontId="3" fillId="0" borderId="12" xfId="0" applyNumberFormat="1" applyFont="1" applyBorder="1" applyAlignment="1" applyProtection="1">
      <alignment horizontal="left" vertical="center" shrinkToFit="1"/>
      <protection hidden="1"/>
    </xf>
    <xf numFmtId="180" fontId="3" fillId="0" borderId="6" xfId="0" applyNumberFormat="1" applyFont="1" applyBorder="1" applyAlignment="1" applyProtection="1">
      <alignment horizontal="left" vertical="center" shrinkToFit="1"/>
      <protection hidden="1"/>
    </xf>
    <xf numFmtId="183" fontId="3" fillId="0" borderId="21" xfId="0" applyNumberFormat="1" applyFont="1" applyBorder="1" applyAlignment="1" applyProtection="1">
      <alignment horizontal="right" vertical="center" shrinkToFit="1"/>
      <protection hidden="1"/>
    </xf>
    <xf numFmtId="180" fontId="13" fillId="0" borderId="32" xfId="0" applyNumberFormat="1" applyFont="1" applyFill="1" applyBorder="1" applyAlignment="1" applyProtection="1">
      <alignment horizontal="center" vertical="center" shrinkToFit="1"/>
      <protection hidden="1"/>
    </xf>
    <xf numFmtId="0" fontId="50" fillId="0" borderId="0" xfId="0" applyFont="1" applyBorder="1" applyAlignment="1" applyProtection="1">
      <alignment horizontal="left" vertical="top" wrapText="1"/>
      <protection hidden="1"/>
    </xf>
    <xf numFmtId="0" fontId="50" fillId="0" borderId="2" xfId="0" applyFont="1" applyBorder="1" applyAlignment="1" applyProtection="1">
      <alignment horizontal="left" vertical="top" wrapText="1"/>
      <protection hidden="1"/>
    </xf>
    <xf numFmtId="0" fontId="50" fillId="0" borderId="12" xfId="0" applyFont="1" applyBorder="1" applyAlignment="1" applyProtection="1">
      <alignment horizontal="left" vertical="top" wrapText="1"/>
      <protection hidden="1"/>
    </xf>
    <xf numFmtId="0" fontId="50" fillId="0" borderId="6" xfId="0" applyFont="1" applyBorder="1" applyAlignment="1" applyProtection="1">
      <alignment horizontal="left" vertical="top" wrapText="1"/>
      <protection hidden="1"/>
    </xf>
    <xf numFmtId="0" fontId="50" fillId="0" borderId="73" xfId="0" applyFont="1" applyBorder="1" applyAlignment="1" applyProtection="1">
      <alignment horizontal="center" wrapText="1"/>
      <protection hidden="1"/>
    </xf>
    <xf numFmtId="0" fontId="63" fillId="0" borderId="0" xfId="0" applyFont="1" applyAlignment="1" applyProtection="1">
      <alignment horizontal="left" vertical="top" wrapText="1"/>
      <protection hidden="1"/>
    </xf>
    <xf numFmtId="0" fontId="4" fillId="0" borderId="31" xfId="0" applyFont="1" applyBorder="1" applyAlignment="1" applyProtection="1">
      <alignment horizontal="center" vertical="center"/>
      <protection hidden="1"/>
    </xf>
    <xf numFmtId="49" fontId="3" fillId="0" borderId="21" xfId="0" applyNumberFormat="1" applyFont="1" applyBorder="1" applyAlignment="1" applyProtection="1">
      <alignment horizontal="center" vertical="center" shrinkToFit="1"/>
      <protection hidden="1"/>
    </xf>
    <xf numFmtId="49" fontId="3" fillId="0" borderId="23" xfId="0" applyNumberFormat="1" applyFont="1" applyBorder="1" applyAlignment="1" applyProtection="1">
      <alignment horizontal="center" vertical="center" shrinkToFit="1"/>
      <protection hidden="1"/>
    </xf>
    <xf numFmtId="0" fontId="4" fillId="0" borderId="18" xfId="0" applyFont="1" applyBorder="1" applyAlignment="1" applyProtection="1">
      <alignment horizontal="center" vertical="center"/>
      <protection hidden="1"/>
    </xf>
    <xf numFmtId="0" fontId="4" fillId="0" borderId="16" xfId="0" applyFont="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50" fillId="0" borderId="14" xfId="0" applyFont="1" applyBorder="1" applyAlignment="1" applyProtection="1">
      <alignment horizontal="left" vertical="top" wrapText="1"/>
      <protection hidden="1"/>
    </xf>
    <xf numFmtId="0" fontId="50" fillId="0" borderId="9" xfId="0" applyFont="1" applyBorder="1" applyAlignment="1" applyProtection="1">
      <alignment horizontal="left" vertical="top" wrapText="1"/>
      <protection hidden="1"/>
    </xf>
    <xf numFmtId="0" fontId="51" fillId="0" borderId="0" xfId="0" applyFont="1" applyAlignment="1" applyProtection="1">
      <alignment horizontal="left" wrapText="1"/>
      <protection hidden="1"/>
    </xf>
    <xf numFmtId="0" fontId="63" fillId="0" borderId="74" xfId="0" applyFont="1" applyBorder="1" applyAlignment="1" applyProtection="1">
      <alignment horizontal="left" vertical="top" wrapText="1"/>
      <protection hidden="1"/>
    </xf>
    <xf numFmtId="0" fontId="72" fillId="0" borderId="75" xfId="0" applyFont="1" applyBorder="1" applyAlignment="1" applyProtection="1">
      <alignment horizontal="left" vertical="top" wrapText="1"/>
      <protection hidden="1"/>
    </xf>
    <xf numFmtId="0" fontId="72" fillId="0" borderId="76" xfId="0" applyFont="1" applyBorder="1" applyAlignment="1" applyProtection="1">
      <alignment horizontal="left" vertical="top" wrapText="1"/>
      <protection hidden="1"/>
    </xf>
    <xf numFmtId="0" fontId="72" fillId="0" borderId="77" xfId="0" applyFont="1" applyBorder="1" applyAlignment="1" applyProtection="1">
      <alignment horizontal="left" vertical="top" wrapText="1"/>
      <protection hidden="1"/>
    </xf>
    <xf numFmtId="0" fontId="72" fillId="0" borderId="0" xfId="0" applyFont="1" applyBorder="1" applyAlignment="1" applyProtection="1">
      <alignment horizontal="left" vertical="top" wrapText="1"/>
      <protection hidden="1"/>
    </xf>
    <xf numFmtId="0" fontId="72" fillId="0" borderId="78" xfId="0" applyFont="1" applyBorder="1" applyAlignment="1" applyProtection="1">
      <alignment horizontal="left" vertical="top" wrapText="1"/>
      <protection hidden="1"/>
    </xf>
    <xf numFmtId="0" fontId="72" fillId="0" borderId="79" xfId="0" applyFont="1" applyBorder="1" applyAlignment="1" applyProtection="1">
      <alignment horizontal="left" vertical="top" wrapText="1"/>
      <protection hidden="1"/>
    </xf>
    <xf numFmtId="0" fontId="72" fillId="0" borderId="73" xfId="0" applyFont="1" applyBorder="1" applyAlignment="1" applyProtection="1">
      <alignment horizontal="left" vertical="top" wrapText="1"/>
      <protection hidden="1"/>
    </xf>
    <xf numFmtId="0" fontId="72" fillId="0" borderId="80" xfId="0" applyFont="1" applyBorder="1" applyAlignment="1" applyProtection="1">
      <alignment horizontal="left" vertical="top" wrapText="1"/>
      <protection hidden="1"/>
    </xf>
    <xf numFmtId="0" fontId="6" fillId="0" borderId="55"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180" fontId="3" fillId="0" borderId="32" xfId="0" applyNumberFormat="1" applyFont="1" applyBorder="1" applyAlignment="1" applyProtection="1">
      <alignment horizontal="center" vertical="center" wrapText="1"/>
      <protection hidden="1"/>
    </xf>
    <xf numFmtId="180" fontId="3" fillId="0" borderId="49" xfId="0" applyNumberFormat="1" applyFont="1" applyBorder="1" applyAlignment="1" applyProtection="1">
      <alignment horizontal="center" vertical="center" wrapText="1"/>
      <protection hidden="1"/>
    </xf>
    <xf numFmtId="180" fontId="3" fillId="0" borderId="46" xfId="0" applyNumberFormat="1" applyFont="1" applyBorder="1" applyAlignment="1" applyProtection="1">
      <alignment horizontal="center" vertical="center" wrapText="1"/>
      <protection hidden="1"/>
    </xf>
    <xf numFmtId="180" fontId="3" fillId="0" borderId="28" xfId="0" applyNumberFormat="1" applyFont="1" applyBorder="1" applyAlignment="1" applyProtection="1">
      <alignment horizontal="center" vertical="center" wrapText="1"/>
      <protection hidden="1"/>
    </xf>
    <xf numFmtId="0" fontId="63" fillId="0" borderId="33" xfId="0" applyFont="1" applyBorder="1" applyAlignment="1" applyProtection="1">
      <alignment horizontal="center" vertical="center"/>
      <protection hidden="1"/>
    </xf>
    <xf numFmtId="0" fontId="63" fillId="0" borderId="34" xfId="0" applyFont="1" applyBorder="1" applyAlignment="1" applyProtection="1">
      <alignment horizontal="center" vertical="center"/>
      <protection hidden="1"/>
    </xf>
    <xf numFmtId="0" fontId="63" fillId="0" borderId="35" xfId="0" applyFont="1" applyBorder="1" applyAlignment="1" applyProtection="1">
      <alignment horizontal="center" vertical="center"/>
      <protection hidden="1"/>
    </xf>
    <xf numFmtId="180" fontId="3" fillId="0" borderId="55" xfId="0" applyNumberFormat="1" applyFont="1" applyBorder="1" applyAlignment="1" applyProtection="1">
      <alignment horizontal="center" vertical="center" wrapText="1"/>
      <protection hidden="1"/>
    </xf>
    <xf numFmtId="0" fontId="6" fillId="0" borderId="28" xfId="0" applyFont="1" applyBorder="1" applyAlignment="1" applyProtection="1">
      <alignment horizontal="center" wrapText="1"/>
      <protection hidden="1"/>
    </xf>
    <xf numFmtId="0" fontId="6" fillId="0" borderId="29" xfId="0" applyFont="1" applyBorder="1" applyAlignment="1" applyProtection="1">
      <alignment horizontal="center" wrapText="1"/>
      <protection hidden="1"/>
    </xf>
    <xf numFmtId="0" fontId="6" fillId="0" borderId="59"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0" borderId="49" xfId="0" applyFont="1" applyBorder="1" applyAlignment="1" applyProtection="1">
      <alignment horizontal="left" vertical="center" wrapText="1"/>
      <protection hidden="1"/>
    </xf>
    <xf numFmtId="49" fontId="3" fillId="0" borderId="8" xfId="0" applyNumberFormat="1" applyFont="1" applyBorder="1" applyAlignment="1" applyProtection="1">
      <alignment horizontal="center" vertical="top" shrinkToFit="1"/>
      <protection hidden="1"/>
    </xf>
    <xf numFmtId="49" fontId="3" fillId="0" borderId="14" xfId="0" applyNumberFormat="1" applyFont="1" applyBorder="1" applyAlignment="1" applyProtection="1">
      <alignment horizontal="center" vertical="top" shrinkToFit="1"/>
      <protection hidden="1"/>
    </xf>
    <xf numFmtId="0" fontId="3" fillId="0" borderId="0"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180" fontId="3" fillId="0" borderId="12" xfId="0" applyNumberFormat="1" applyFont="1" applyBorder="1" applyAlignment="1" applyProtection="1">
      <alignment horizontal="center" vertical="center" wrapText="1"/>
      <protection hidden="1"/>
    </xf>
    <xf numFmtId="180" fontId="3" fillId="0" borderId="6" xfId="0" applyNumberFormat="1" applyFont="1" applyBorder="1" applyAlignment="1" applyProtection="1">
      <alignment horizontal="center" vertical="center" wrapText="1"/>
      <protection hidden="1"/>
    </xf>
    <xf numFmtId="56" fontId="3" fillId="0" borderId="8" xfId="0" applyNumberFormat="1" applyFont="1" applyBorder="1" applyAlignment="1" applyProtection="1">
      <alignment horizontal="center" vertical="center" shrinkToFit="1"/>
      <protection hidden="1"/>
    </xf>
    <xf numFmtId="56" fontId="3" fillId="0" borderId="14" xfId="0" applyNumberFormat="1" applyFont="1" applyBorder="1" applyAlignment="1" applyProtection="1">
      <alignment horizontal="center" vertical="center" shrinkToFit="1"/>
      <protection hidden="1"/>
    </xf>
    <xf numFmtId="56" fontId="3" fillId="0" borderId="9" xfId="0" applyNumberFormat="1"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9"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20" fillId="4" borderId="10" xfId="0" applyFont="1" applyFill="1" applyBorder="1" applyAlignment="1" applyProtection="1">
      <alignment horizontal="left" vertical="center"/>
    </xf>
    <xf numFmtId="0" fontId="34" fillId="4" borderId="1" xfId="0" applyFont="1" applyFill="1" applyBorder="1" applyAlignment="1" applyProtection="1">
      <alignment horizontal="left" vertical="center"/>
    </xf>
    <xf numFmtId="0" fontId="34" fillId="4" borderId="10" xfId="0" applyFont="1" applyFill="1" applyBorder="1" applyAlignment="1" applyProtection="1">
      <alignment horizontal="left" vertical="center"/>
    </xf>
    <xf numFmtId="0" fontId="20" fillId="4" borderId="10" xfId="0" applyFont="1" applyFill="1" applyBorder="1" applyAlignment="1" applyProtection="1">
      <alignment horizontal="left" vertical="center" wrapText="1"/>
      <protection hidden="1"/>
    </xf>
    <xf numFmtId="0" fontId="20" fillId="4" borderId="1" xfId="0" applyFont="1" applyFill="1" applyBorder="1" applyAlignment="1" applyProtection="1">
      <alignment horizontal="left" vertical="center" wrapText="1"/>
      <protection hidden="1"/>
    </xf>
    <xf numFmtId="0" fontId="20" fillId="4" borderId="11" xfId="0" applyFont="1" applyFill="1" applyBorder="1" applyAlignment="1" applyProtection="1">
      <alignment horizontal="left" vertical="center" wrapText="1"/>
      <protection hidden="1"/>
    </xf>
    <xf numFmtId="185" fontId="12" fillId="4" borderId="8" xfId="0" applyNumberFormat="1" applyFont="1" applyFill="1" applyBorder="1" applyAlignment="1" applyProtection="1">
      <alignment horizontal="center" vertical="center" wrapText="1"/>
      <protection hidden="1"/>
    </xf>
    <xf numFmtId="185" fontId="12" fillId="4" borderId="14" xfId="0" applyNumberFormat="1" applyFont="1" applyFill="1" applyBorder="1" applyAlignment="1" applyProtection="1">
      <alignment horizontal="center" vertical="center" wrapText="1"/>
      <protection hidden="1"/>
    </xf>
    <xf numFmtId="185" fontId="12" fillId="4" borderId="9" xfId="0" applyNumberFormat="1" applyFont="1" applyFill="1" applyBorder="1" applyAlignment="1" applyProtection="1">
      <alignment horizontal="center" vertical="center" wrapText="1"/>
      <protection hidden="1"/>
    </xf>
    <xf numFmtId="185" fontId="12" fillId="4" borderId="5" xfId="0" applyNumberFormat="1" applyFont="1" applyFill="1" applyBorder="1" applyAlignment="1" applyProtection="1">
      <alignment horizontal="center" vertical="center" wrapText="1"/>
      <protection hidden="1"/>
    </xf>
    <xf numFmtId="185" fontId="12" fillId="4" borderId="12" xfId="0" applyNumberFormat="1" applyFont="1" applyFill="1" applyBorder="1" applyAlignment="1" applyProtection="1">
      <alignment horizontal="center" vertical="center" wrapText="1"/>
      <protection hidden="1"/>
    </xf>
    <xf numFmtId="185" fontId="12" fillId="4" borderId="6" xfId="0" applyNumberFormat="1" applyFont="1" applyFill="1" applyBorder="1" applyAlignment="1" applyProtection="1">
      <alignment horizontal="center" vertical="center" wrapText="1"/>
      <protection hidden="1"/>
    </xf>
    <xf numFmtId="0" fontId="4" fillId="0" borderId="51" xfId="0" applyFont="1" applyFill="1" applyBorder="1" applyAlignment="1" applyProtection="1">
      <alignment horizontal="center" vertical="center" shrinkToFit="1"/>
      <protection hidden="1"/>
    </xf>
    <xf numFmtId="0" fontId="4" fillId="0" borderId="52" xfId="0" applyFont="1" applyFill="1" applyBorder="1" applyAlignment="1" applyProtection="1">
      <alignment horizontal="center" vertical="center" shrinkToFit="1"/>
      <protection hidden="1"/>
    </xf>
    <xf numFmtId="0" fontId="4" fillId="0" borderId="14" xfId="0" applyFont="1" applyFill="1" applyBorder="1" applyAlignment="1" applyProtection="1">
      <alignment horizontal="left" vertical="center" wrapText="1"/>
      <protection hidden="1"/>
    </xf>
    <xf numFmtId="0" fontId="7" fillId="0" borderId="51" xfId="0" applyFont="1" applyFill="1" applyBorder="1" applyAlignment="1" applyProtection="1">
      <alignment horizontal="center" vertical="center" wrapText="1"/>
      <protection hidden="1"/>
    </xf>
    <xf numFmtId="0" fontId="7" fillId="0" borderId="52" xfId="0" applyFont="1" applyFill="1" applyBorder="1" applyAlignment="1" applyProtection="1">
      <alignment horizontal="center" vertical="center" wrapText="1"/>
      <protection hidden="1"/>
    </xf>
    <xf numFmtId="0" fontId="3" fillId="0" borderId="2" xfId="0" applyFont="1" applyBorder="1" applyAlignment="1" applyProtection="1">
      <alignment horizontal="center" vertical="center" shrinkToFit="1"/>
      <protection hidden="1"/>
    </xf>
    <xf numFmtId="180" fontId="3" fillId="0" borderId="0" xfId="0" applyNumberFormat="1" applyFont="1" applyBorder="1" applyAlignment="1" applyProtection="1">
      <alignment horizontal="center" vertical="center" shrinkToFit="1"/>
      <protection hidden="1"/>
    </xf>
    <xf numFmtId="183" fontId="3" fillId="0" borderId="21" xfId="0" applyNumberFormat="1" applyFont="1" applyBorder="1" applyAlignment="1" applyProtection="1">
      <alignment horizontal="center" vertical="center" wrapText="1"/>
      <protection hidden="1"/>
    </xf>
    <xf numFmtId="183" fontId="3" fillId="0" borderId="23" xfId="0" applyNumberFormat="1" applyFont="1" applyBorder="1" applyAlignment="1" applyProtection="1">
      <alignment horizontal="center" vertical="center" wrapText="1"/>
      <protection hidden="1"/>
    </xf>
    <xf numFmtId="183" fontId="3" fillId="0" borderId="25" xfId="0" applyNumberFormat="1" applyFont="1" applyBorder="1" applyAlignment="1" applyProtection="1">
      <alignment horizontal="center" vertical="center" wrapText="1"/>
      <protection hidden="1"/>
    </xf>
    <xf numFmtId="183" fontId="3" fillId="0" borderId="26" xfId="0" applyNumberFormat="1" applyFont="1" applyBorder="1" applyAlignment="1" applyProtection="1">
      <alignment horizontal="center" vertical="center" wrapText="1"/>
      <protection hidden="1"/>
    </xf>
    <xf numFmtId="183" fontId="3" fillId="0" borderId="22" xfId="0" applyNumberFormat="1" applyFont="1" applyBorder="1" applyAlignment="1" applyProtection="1">
      <alignment horizontal="center" vertical="center" wrapText="1"/>
      <protection hidden="1"/>
    </xf>
    <xf numFmtId="183" fontId="3" fillId="0" borderId="28" xfId="0" applyNumberFormat="1" applyFont="1" applyBorder="1" applyAlignment="1" applyProtection="1">
      <alignment horizontal="center" vertical="center" wrapText="1"/>
      <protection hidden="1"/>
    </xf>
    <xf numFmtId="180" fontId="3" fillId="0" borderId="21" xfId="0" applyNumberFormat="1" applyFont="1" applyBorder="1" applyAlignment="1" applyProtection="1">
      <alignment horizontal="center" vertical="center" shrinkToFit="1"/>
      <protection hidden="1"/>
    </xf>
    <xf numFmtId="180" fontId="3" fillId="0" borderId="23" xfId="0" applyNumberFormat="1" applyFont="1" applyBorder="1" applyAlignment="1" applyProtection="1">
      <alignment horizontal="center" vertical="center" shrinkToFit="1"/>
      <protection hidden="1"/>
    </xf>
    <xf numFmtId="180" fontId="3" fillId="0" borderId="24"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180" fontId="3" fillId="0" borderId="26" xfId="0" applyNumberFormat="1" applyFont="1" applyBorder="1" applyAlignment="1" applyProtection="1">
      <alignment horizontal="center" vertical="center" shrinkToFit="1"/>
      <protection hidden="1"/>
    </xf>
    <xf numFmtId="180" fontId="3" fillId="0" borderId="27" xfId="0" applyNumberFormat="1" applyFont="1" applyBorder="1" applyAlignment="1" applyProtection="1">
      <alignment horizontal="center" vertical="center" shrinkToFit="1"/>
      <protection hidden="1"/>
    </xf>
    <xf numFmtId="180" fontId="3" fillId="0" borderId="22" xfId="0" applyNumberFormat="1" applyFont="1" applyBorder="1" applyAlignment="1" applyProtection="1">
      <alignment horizontal="center" vertical="center" shrinkToFit="1"/>
      <protection hidden="1"/>
    </xf>
    <xf numFmtId="180" fontId="3" fillId="0" borderId="28" xfId="0" applyNumberFormat="1" applyFont="1" applyBorder="1" applyAlignment="1" applyProtection="1">
      <alignment horizontal="center" vertical="center" shrinkToFit="1"/>
      <protection hidden="1"/>
    </xf>
    <xf numFmtId="180" fontId="3" fillId="0" borderId="29" xfId="0" applyNumberFormat="1" applyFont="1" applyBorder="1" applyAlignment="1" applyProtection="1">
      <alignment horizontal="center" vertical="center" shrinkToFit="1"/>
      <protection hidden="1"/>
    </xf>
    <xf numFmtId="176" fontId="4" fillId="0" borderId="3" xfId="0" applyNumberFormat="1" applyFont="1" applyFill="1" applyBorder="1" applyAlignment="1" applyProtection="1">
      <alignment horizontal="center" vertical="center" wrapText="1"/>
      <protection hidden="1"/>
    </xf>
    <xf numFmtId="176" fontId="4" fillId="0" borderId="0" xfId="0" applyNumberFormat="1" applyFont="1" applyFill="1" applyBorder="1" applyAlignment="1" applyProtection="1">
      <alignment horizontal="center" vertical="center" wrapText="1"/>
      <protection hidden="1"/>
    </xf>
    <xf numFmtId="176" fontId="4" fillId="0" borderId="2" xfId="0" applyNumberFormat="1" applyFont="1" applyFill="1" applyBorder="1" applyAlignment="1" applyProtection="1">
      <alignment horizontal="center" vertical="center" wrapText="1"/>
      <protection hidden="1"/>
    </xf>
    <xf numFmtId="0" fontId="3" fillId="0" borderId="31" xfId="0" applyFont="1" applyFill="1" applyBorder="1" applyAlignment="1" applyProtection="1">
      <alignment horizontal="center" vertical="center" wrapText="1"/>
      <protection hidden="1"/>
    </xf>
    <xf numFmtId="186" fontId="12" fillId="0" borderId="54" xfId="0" applyNumberFormat="1" applyFont="1" applyFill="1" applyBorder="1" applyAlignment="1" applyProtection="1">
      <alignment horizontal="right" vertical="center" shrinkToFit="1"/>
      <protection hidden="1"/>
    </xf>
    <xf numFmtId="186" fontId="12" fillId="0" borderId="26" xfId="0" applyNumberFormat="1" applyFont="1" applyFill="1" applyBorder="1" applyAlignment="1" applyProtection="1">
      <alignment horizontal="right" vertical="center" shrinkToFit="1"/>
      <protection hidden="1"/>
    </xf>
    <xf numFmtId="186" fontId="13" fillId="0" borderId="22" xfId="0" applyNumberFormat="1" applyFont="1" applyFill="1" applyBorder="1" applyAlignment="1" applyProtection="1">
      <alignment horizontal="right" vertical="center" shrinkToFit="1"/>
      <protection hidden="1"/>
    </xf>
    <xf numFmtId="186" fontId="13" fillId="0" borderId="28" xfId="0" applyNumberFormat="1" applyFont="1" applyFill="1" applyBorder="1" applyAlignment="1" applyProtection="1">
      <alignment horizontal="right" vertical="center" shrinkToFit="1"/>
      <protection hidden="1"/>
    </xf>
    <xf numFmtId="183" fontId="13" fillId="0" borderId="21" xfId="0" applyNumberFormat="1" applyFont="1" applyFill="1" applyBorder="1" applyAlignment="1" applyProtection="1">
      <alignment horizontal="right" vertical="center" shrinkToFit="1"/>
      <protection hidden="1"/>
    </xf>
    <xf numFmtId="183" fontId="13" fillId="0" borderId="23" xfId="0" applyNumberFormat="1" applyFont="1" applyFill="1" applyBorder="1" applyAlignment="1" applyProtection="1">
      <alignment horizontal="right" vertical="center" shrinkToFit="1"/>
      <protection hidden="1"/>
    </xf>
    <xf numFmtId="0" fontId="22" fillId="0" borderId="18" xfId="0" applyFont="1" applyFill="1" applyBorder="1" applyAlignment="1" applyProtection="1">
      <alignment horizontal="distributed" vertical="center" wrapText="1" indent="1"/>
      <protection hidden="1"/>
    </xf>
    <xf numFmtId="0" fontId="22" fillId="0" borderId="19" xfId="0" applyFont="1" applyFill="1" applyBorder="1" applyAlignment="1" applyProtection="1">
      <alignment horizontal="distributed" vertical="center" wrapText="1" indent="1"/>
      <protection hidden="1"/>
    </xf>
    <xf numFmtId="0" fontId="22" fillId="0" borderId="50" xfId="0" applyFont="1" applyFill="1" applyBorder="1" applyAlignment="1" applyProtection="1">
      <alignment horizontal="distributed" vertical="center" wrapText="1" indent="1"/>
      <protection hidden="1"/>
    </xf>
    <xf numFmtId="180" fontId="3" fillId="0" borderId="49" xfId="0" applyNumberFormat="1" applyFont="1" applyFill="1" applyBorder="1" applyAlignment="1" applyProtection="1">
      <alignment horizontal="center" vertical="center" wrapText="1"/>
      <protection hidden="1"/>
    </xf>
    <xf numFmtId="0" fontId="64" fillId="4" borderId="83" xfId="0" applyFont="1" applyFill="1" applyBorder="1" applyAlignment="1" applyProtection="1">
      <alignment horizontal="center"/>
      <protection hidden="1"/>
    </xf>
    <xf numFmtId="0" fontId="64" fillId="4" borderId="0" xfId="0" applyFont="1" applyFill="1" applyBorder="1" applyAlignment="1" applyProtection="1">
      <alignment horizontal="center"/>
      <protection hidden="1"/>
    </xf>
    <xf numFmtId="0" fontId="12" fillId="0" borderId="1"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12" fillId="4" borderId="11"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4" fillId="0" borderId="31" xfId="0" applyFont="1" applyFill="1" applyBorder="1" applyAlignment="1" applyProtection="1">
      <alignment horizontal="center" vertical="center" wrapText="1"/>
      <protection hidden="1"/>
    </xf>
    <xf numFmtId="0" fontId="62" fillId="0" borderId="0" xfId="0" applyFont="1" applyAlignment="1" applyProtection="1">
      <alignment horizontal="center" vertical="center" shrinkToFit="1"/>
      <protection hidden="1"/>
    </xf>
    <xf numFmtId="0" fontId="12" fillId="0" borderId="21" xfId="0" applyFont="1" applyFill="1" applyBorder="1" applyAlignment="1" applyProtection="1">
      <alignment horizontal="center" vertical="center" shrinkToFit="1"/>
      <protection hidden="1"/>
    </xf>
    <xf numFmtId="0" fontId="12" fillId="0" borderId="23" xfId="0" applyFont="1" applyFill="1" applyBorder="1" applyAlignment="1" applyProtection="1">
      <alignment horizontal="center" vertical="center" shrinkToFit="1"/>
      <protection hidden="1"/>
    </xf>
    <xf numFmtId="0" fontId="12" fillId="0" borderId="24" xfId="0" applyFont="1" applyFill="1" applyBorder="1" applyAlignment="1" applyProtection="1">
      <alignment horizontal="center" vertical="center" shrinkToFit="1"/>
      <protection hidden="1"/>
    </xf>
    <xf numFmtId="180" fontId="4" fillId="0" borderId="17" xfId="0" applyNumberFormat="1" applyFont="1" applyBorder="1" applyAlignment="1" applyProtection="1">
      <alignment horizontal="center" vertical="center" shrinkToFit="1"/>
      <protection hidden="1"/>
    </xf>
    <xf numFmtId="180" fontId="4" fillId="0" borderId="32" xfId="0" applyNumberFormat="1" applyFont="1" applyBorder="1" applyAlignment="1" applyProtection="1">
      <alignment horizontal="center" vertical="center" shrinkToFit="1"/>
      <protection hidden="1"/>
    </xf>
    <xf numFmtId="0" fontId="88" fillId="0" borderId="11" xfId="0" applyFont="1" applyBorder="1" applyAlignment="1" applyProtection="1">
      <alignment horizontal="center" vertical="center" wrapText="1"/>
      <protection hidden="1"/>
    </xf>
    <xf numFmtId="0" fontId="88" fillId="0" borderId="15" xfId="0" applyFont="1" applyBorder="1" applyAlignment="1" applyProtection="1">
      <alignment horizontal="center" vertical="center" wrapText="1"/>
      <protection hidden="1"/>
    </xf>
    <xf numFmtId="0" fontId="88" fillId="0" borderId="10" xfId="0" applyFont="1" applyBorder="1" applyAlignment="1" applyProtection="1">
      <alignment horizontal="center" vertical="center" wrapText="1"/>
      <protection hidden="1"/>
    </xf>
    <xf numFmtId="0" fontId="3" fillId="0" borderId="0" xfId="0" applyNumberFormat="1" applyFont="1" applyBorder="1" applyAlignment="1" applyProtection="1">
      <alignment horizontal="left" vertical="center" shrinkToFit="1"/>
      <protection hidden="1"/>
    </xf>
    <xf numFmtId="180" fontId="3" fillId="0" borderId="32" xfId="0" applyNumberFormat="1" applyFont="1" applyBorder="1" applyAlignment="1" applyProtection="1">
      <alignment horizontal="left" vertical="center" wrapText="1"/>
      <protection hidden="1"/>
    </xf>
    <xf numFmtId="180" fontId="3" fillId="0" borderId="49" xfId="0" applyNumberFormat="1" applyFont="1" applyBorder="1" applyAlignment="1" applyProtection="1">
      <alignment horizontal="left" vertical="center" wrapText="1"/>
      <protection hidden="1"/>
    </xf>
    <xf numFmtId="0" fontId="51" fillId="7" borderId="1" xfId="4" applyFont="1" applyFill="1" applyBorder="1" applyAlignment="1">
      <alignment horizontal="center"/>
    </xf>
    <xf numFmtId="0" fontId="51" fillId="11" borderId="1" xfId="4" applyFont="1" applyFill="1" applyBorder="1" applyAlignment="1">
      <alignment horizontal="center" vertical="center"/>
    </xf>
    <xf numFmtId="178" fontId="51" fillId="14" borderId="87" xfId="4" applyNumberFormat="1" applyFont="1" applyFill="1" applyBorder="1" applyAlignment="1">
      <alignment horizontal="center" shrinkToFit="1"/>
    </xf>
    <xf numFmtId="178" fontId="51" fillId="14" borderId="88" xfId="4" applyNumberFormat="1" applyFont="1" applyFill="1" applyBorder="1" applyAlignment="1">
      <alignment horizontal="center" shrinkToFit="1"/>
    </xf>
    <xf numFmtId="178" fontId="51" fillId="14" borderId="89" xfId="4" applyNumberFormat="1" applyFont="1" applyFill="1" applyBorder="1" applyAlignment="1">
      <alignment horizontal="center" shrinkToFit="1"/>
    </xf>
    <xf numFmtId="178" fontId="51" fillId="14" borderId="90" xfId="4" applyNumberFormat="1" applyFont="1" applyFill="1" applyBorder="1" applyAlignment="1">
      <alignment horizontal="center" shrinkToFit="1"/>
    </xf>
    <xf numFmtId="0" fontId="51" fillId="0" borderId="3" xfId="4" applyFont="1" applyFill="1" applyBorder="1" applyAlignment="1">
      <alignment horizontal="center" vertical="center" shrinkToFit="1"/>
    </xf>
    <xf numFmtId="0" fontId="51" fillId="0" borderId="0" xfId="4" applyFont="1" applyFill="1" applyBorder="1" applyAlignment="1">
      <alignment horizontal="center" vertical="center" shrinkToFit="1"/>
    </xf>
    <xf numFmtId="0" fontId="51" fillId="0" borderId="2" xfId="4" applyFont="1" applyFill="1" applyBorder="1" applyAlignment="1">
      <alignment horizontal="center" vertical="center" shrinkToFit="1"/>
    </xf>
    <xf numFmtId="0" fontId="51" fillId="0" borderId="5" xfId="4" applyFont="1" applyFill="1" applyBorder="1" applyAlignment="1">
      <alignment horizontal="center" vertical="center" shrinkToFit="1"/>
    </xf>
    <xf numFmtId="0" fontId="51" fillId="0" borderId="12" xfId="4" applyFont="1" applyFill="1" applyBorder="1" applyAlignment="1">
      <alignment horizontal="center" vertical="center" shrinkToFit="1"/>
    </xf>
    <xf numFmtId="0" fontId="51" fillId="0" borderId="6" xfId="4" applyFont="1" applyFill="1" applyBorder="1" applyAlignment="1">
      <alignment horizontal="center" vertical="center" shrinkToFit="1"/>
    </xf>
    <xf numFmtId="178" fontId="83" fillId="9" borderId="11" xfId="4" applyNumberFormat="1" applyFont="1" applyFill="1" applyBorder="1" applyAlignment="1">
      <alignment horizontal="center" vertical="center" shrinkToFit="1"/>
    </xf>
    <xf numFmtId="178" fontId="83" fillId="9" borderId="10" xfId="4" applyNumberFormat="1" applyFont="1" applyFill="1" applyBorder="1" applyAlignment="1">
      <alignment horizontal="center" vertical="center" shrinkToFit="1"/>
    </xf>
    <xf numFmtId="0" fontId="54" fillId="0" borderId="0" xfId="4" applyFont="1" applyAlignment="1">
      <alignment horizontal="left" wrapText="1"/>
    </xf>
    <xf numFmtId="0" fontId="51" fillId="14" borderId="98" xfId="4" applyFont="1" applyFill="1" applyBorder="1" applyAlignment="1">
      <alignment horizontal="distributed" vertical="distributed"/>
    </xf>
    <xf numFmtId="0" fontId="51" fillId="14" borderId="99" xfId="4" applyFont="1" applyFill="1" applyBorder="1" applyAlignment="1">
      <alignment horizontal="distributed" vertical="distributed"/>
    </xf>
    <xf numFmtId="0" fontId="51" fillId="14" borderId="100" xfId="4" applyFont="1" applyFill="1" applyBorder="1" applyAlignment="1">
      <alignment horizontal="distributed" vertical="distributed"/>
    </xf>
    <xf numFmtId="0" fontId="51" fillId="14" borderId="101" xfId="4" applyFont="1" applyFill="1" applyBorder="1" applyAlignment="1">
      <alignment horizontal="distributed" vertical="distributed"/>
    </xf>
    <xf numFmtId="0" fontId="87" fillId="0" borderId="8" xfId="4" applyFont="1" applyBorder="1" applyAlignment="1">
      <alignment horizontal="left" vertical="center" wrapText="1"/>
    </xf>
    <xf numFmtId="0" fontId="87" fillId="0" borderId="14" xfId="4" applyFont="1" applyBorder="1" applyAlignment="1">
      <alignment horizontal="left" vertical="center" wrapText="1"/>
    </xf>
    <xf numFmtId="0" fontId="84" fillId="11" borderId="11" xfId="4" applyFont="1" applyFill="1" applyBorder="1" applyAlignment="1">
      <alignment horizontal="right" vertical="center" wrapText="1"/>
    </xf>
    <xf numFmtId="0" fontId="84" fillId="11" borderId="10" xfId="4" applyFont="1" applyFill="1" applyBorder="1" applyAlignment="1">
      <alignment horizontal="right" vertical="center" wrapText="1"/>
    </xf>
    <xf numFmtId="0" fontId="51" fillId="14" borderId="7" xfId="4" applyFont="1" applyFill="1" applyBorder="1" applyAlignment="1">
      <alignment horizontal="distributed" vertical="distributed"/>
    </xf>
    <xf numFmtId="0" fontId="51" fillId="14" borderId="11" xfId="4" applyFont="1" applyFill="1" applyBorder="1" applyAlignment="1">
      <alignment horizontal="distributed" vertical="distributed"/>
    </xf>
    <xf numFmtId="0" fontId="51" fillId="14" borderId="15" xfId="4" applyFont="1" applyFill="1" applyBorder="1" applyAlignment="1">
      <alignment horizontal="distributed" vertical="distributed"/>
    </xf>
    <xf numFmtId="0" fontId="51" fillId="14" borderId="10" xfId="4" applyFont="1" applyFill="1" applyBorder="1" applyAlignment="1">
      <alignment horizontal="distributed" vertical="distributed"/>
    </xf>
    <xf numFmtId="0" fontId="51" fillId="14" borderId="4" xfId="4" applyFont="1" applyFill="1" applyBorder="1" applyAlignment="1">
      <alignment horizontal="center" vertical="center" textRotation="255"/>
    </xf>
    <xf numFmtId="0" fontId="51" fillId="14" borderId="30" xfId="4" applyFont="1" applyFill="1" applyBorder="1" applyAlignment="1">
      <alignment horizontal="center" vertical="center" textRotation="255"/>
    </xf>
    <xf numFmtId="0" fontId="51" fillId="14" borderId="7" xfId="4" applyFont="1" applyFill="1" applyBorder="1" applyAlignment="1">
      <alignment horizontal="center" vertical="center" textRotation="255"/>
    </xf>
    <xf numFmtId="0" fontId="51" fillId="14" borderId="92" xfId="4" applyFont="1" applyFill="1" applyBorder="1" applyAlignment="1">
      <alignment horizontal="distributed" vertical="distributed"/>
    </xf>
    <xf numFmtId="0" fontId="51" fillId="14" borderId="93" xfId="4" applyFont="1" applyFill="1" applyBorder="1" applyAlignment="1">
      <alignment horizontal="distributed" vertical="distributed"/>
    </xf>
    <xf numFmtId="0" fontId="51" fillId="14" borderId="94" xfId="4" applyFont="1" applyFill="1" applyBorder="1" applyAlignment="1">
      <alignment horizontal="distributed" vertical="distributed"/>
    </xf>
    <xf numFmtId="0" fontId="69" fillId="4" borderId="5" xfId="4" applyFont="1" applyFill="1" applyBorder="1" applyAlignment="1">
      <alignment horizontal="distributed" vertical="distributed"/>
    </xf>
    <xf numFmtId="0" fontId="69" fillId="4" borderId="12" xfId="4" applyFont="1" applyFill="1" applyBorder="1" applyAlignment="1">
      <alignment horizontal="distributed" vertical="distributed"/>
    </xf>
    <xf numFmtId="0" fontId="69" fillId="4" borderId="6" xfId="4" applyFont="1" applyFill="1" applyBorder="1" applyAlignment="1">
      <alignment horizontal="distributed" vertical="distributed"/>
    </xf>
    <xf numFmtId="0" fontId="51" fillId="14" borderId="102" xfId="4" applyFont="1" applyFill="1" applyBorder="1" applyAlignment="1">
      <alignment horizontal="distributed" vertical="distributed"/>
    </xf>
    <xf numFmtId="0" fontId="51" fillId="14" borderId="103" xfId="4" applyFont="1" applyFill="1" applyBorder="1" applyAlignment="1">
      <alignment horizontal="distributed" vertical="distributed"/>
    </xf>
    <xf numFmtId="0" fontId="48" fillId="8" borderId="4" xfId="0" applyFont="1" applyFill="1" applyBorder="1" applyAlignment="1">
      <alignment horizontal="center" vertical="center"/>
    </xf>
    <xf numFmtId="0" fontId="48" fillId="8" borderId="30" xfId="0" applyFont="1" applyFill="1" applyBorder="1" applyAlignment="1">
      <alignment horizontal="center" vertical="center"/>
    </xf>
    <xf numFmtId="0" fontId="48" fillId="8" borderId="7" xfId="0" applyFont="1" applyFill="1" applyBorder="1" applyAlignment="1">
      <alignment horizontal="center" vertical="center"/>
    </xf>
    <xf numFmtId="0" fontId="48" fillId="8" borderId="1" xfId="0" applyFont="1" applyFill="1" applyBorder="1" applyAlignment="1">
      <alignment horizontal="center" vertical="center"/>
    </xf>
    <xf numFmtId="0" fontId="47" fillId="8" borderId="11" xfId="0" applyFont="1" applyFill="1" applyBorder="1" applyAlignment="1">
      <alignment horizontal="center" vertical="center"/>
    </xf>
    <xf numFmtId="0" fontId="47" fillId="8" borderId="10" xfId="0" applyFont="1" applyFill="1" applyBorder="1" applyAlignment="1">
      <alignment horizontal="center" vertical="center"/>
    </xf>
    <xf numFmtId="0" fontId="47" fillId="8" borderId="1" xfId="0" applyNumberFormat="1" applyFont="1" applyFill="1" applyBorder="1" applyAlignment="1" applyProtection="1">
      <alignment horizontal="center" vertical="center"/>
    </xf>
    <xf numFmtId="49" fontId="51" fillId="0" borderId="100" xfId="0" applyNumberFormat="1" applyFont="1" applyBorder="1" applyAlignment="1">
      <alignment horizontal="left" vertical="center"/>
    </xf>
    <xf numFmtId="49" fontId="51" fillId="0" borderId="101" xfId="0" applyNumberFormat="1" applyFont="1" applyBorder="1" applyAlignment="1">
      <alignment horizontal="left" vertical="center"/>
    </xf>
  </cellXfs>
  <cellStyles count="5">
    <cellStyle name="ハイパーリンク" xfId="3" builtinId="8"/>
    <cellStyle name="桁区切り 2" xfId="2"/>
    <cellStyle name="標準" xfId="0" builtinId="0"/>
    <cellStyle name="標準 2" xfId="1"/>
    <cellStyle name="標準 3" xfId="4"/>
  </cellStyles>
  <dxfs count="40">
    <dxf>
      <fill>
        <patternFill>
          <bgColor theme="8" tint="0.79998168889431442"/>
        </patternFill>
      </fill>
      <border>
        <left style="thin">
          <color auto="1"/>
        </left>
        <right style="thin">
          <color auto="1"/>
        </right>
        <top style="thin">
          <color auto="1"/>
        </top>
        <bottom style="thin">
          <color auto="1"/>
        </bottom>
      </border>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theme="7" tint="0.79998168889431442"/>
        </patternFill>
      </fill>
      <border>
        <right style="thin">
          <color auto="1"/>
        </right>
        <bottom style="thin">
          <color auto="1"/>
        </bottom>
        <vertical/>
        <horizontal/>
      </border>
    </dxf>
    <dxf>
      <font>
        <color theme="1"/>
      </font>
      <fill>
        <patternFill>
          <bgColor theme="0" tint="-0.14996795556505021"/>
        </patternFill>
      </fill>
      <border>
        <right style="thin">
          <color auto="1"/>
        </right>
        <bottom style="thin">
          <color auto="1"/>
        </bottom>
        <vertical/>
        <horizontal/>
      </border>
    </dxf>
    <dxf>
      <font>
        <color theme="1"/>
      </font>
      <fill>
        <patternFill>
          <bgColor theme="7" tint="0.79998168889431442"/>
        </patternFill>
      </fill>
      <border>
        <right style="thin">
          <color auto="1"/>
        </right>
        <bottom style="thin">
          <color auto="1"/>
        </bottom>
        <vertical/>
        <horizontal/>
      </border>
    </dxf>
    <dxf>
      <font>
        <color theme="1"/>
      </font>
      <fill>
        <patternFill>
          <bgColor theme="0" tint="-0.14996795556505021"/>
        </patternFill>
      </fill>
      <border>
        <right style="thin">
          <color auto="1"/>
        </right>
        <bottom style="thin">
          <color auto="1"/>
        </bottom>
        <vertical/>
        <horizontal/>
      </border>
    </dxf>
    <dxf>
      <font>
        <color theme="1"/>
      </font>
      <fill>
        <patternFill>
          <bgColor theme="7" tint="0.79998168889431442"/>
        </patternFill>
      </fill>
      <border>
        <right style="thin">
          <color auto="1"/>
        </right>
        <bottom style="thin">
          <color auto="1"/>
        </bottom>
        <vertical/>
        <horizontal/>
      </border>
    </dxf>
    <dxf>
      <font>
        <color theme="1"/>
      </font>
      <fill>
        <patternFill>
          <bgColor theme="0" tint="-0.14996795556505021"/>
        </patternFill>
      </fill>
      <border>
        <right style="thin">
          <color auto="1"/>
        </right>
        <bottom style="thin">
          <color auto="1"/>
        </bottom>
        <vertical/>
        <horizontal/>
      </border>
    </dxf>
    <dxf>
      <font>
        <color theme="1"/>
      </font>
      <fill>
        <patternFill>
          <bgColor theme="7" tint="0.79998168889431442"/>
        </patternFill>
      </fill>
      <border>
        <right style="thin">
          <color auto="1"/>
        </right>
        <bottom style="thin">
          <color auto="1"/>
        </bottom>
        <vertical/>
        <horizontal/>
      </border>
    </dxf>
    <dxf>
      <font>
        <color theme="1"/>
      </font>
      <fill>
        <patternFill>
          <bgColor theme="0" tint="-0.14996795556505021"/>
        </patternFill>
      </fill>
      <border>
        <right style="thin">
          <color auto="1"/>
        </right>
        <bottom style="thin">
          <color auto="1"/>
        </bottom>
        <vertical/>
        <horizontal/>
      </border>
    </dxf>
    <dxf>
      <font>
        <color theme="1"/>
      </font>
      <fill>
        <patternFill>
          <bgColor theme="7" tint="0.79998168889431442"/>
        </patternFill>
      </fill>
      <border>
        <right style="thin">
          <color auto="1"/>
        </right>
        <bottom style="thin">
          <color auto="1"/>
        </bottom>
        <vertical/>
        <horizontal/>
      </border>
    </dxf>
    <dxf>
      <font>
        <color theme="1"/>
      </font>
      <fill>
        <patternFill>
          <bgColor theme="0" tint="-0.14996795556505021"/>
        </patternFill>
      </fill>
      <border>
        <right style="thin">
          <color auto="1"/>
        </right>
        <bottom style="thin">
          <color auto="1"/>
        </bottom>
        <vertical/>
        <horizontal/>
      </border>
    </dxf>
    <dxf>
      <font>
        <color theme="1"/>
      </font>
      <fill>
        <patternFill>
          <bgColor theme="7" tint="0.79998168889431442"/>
        </patternFill>
      </fill>
      <border>
        <right style="thin">
          <color auto="1"/>
        </right>
        <bottom style="thin">
          <color auto="1"/>
        </bottom>
        <vertical/>
        <horizontal/>
      </border>
    </dxf>
    <dxf>
      <font>
        <color theme="1"/>
      </font>
      <fill>
        <patternFill>
          <bgColor theme="0" tint="-0.14996795556505021"/>
        </patternFill>
      </fill>
      <border>
        <right style="thin">
          <color auto="1"/>
        </right>
        <bottom style="thin">
          <color auto="1"/>
        </bottom>
        <vertical/>
        <horizontal/>
      </border>
    </dxf>
    <dxf>
      <font>
        <color theme="1"/>
      </font>
      <fill>
        <patternFill>
          <bgColor theme="7" tint="0.79998168889431442"/>
        </patternFill>
      </fill>
      <border>
        <right style="thin">
          <color auto="1"/>
        </right>
        <bottom style="thin">
          <color auto="1"/>
        </bottom>
        <vertical/>
        <horizontal/>
      </border>
    </dxf>
    <dxf>
      <font>
        <color theme="1"/>
      </font>
      <fill>
        <patternFill>
          <bgColor theme="0" tint="-0.14996795556505021"/>
        </patternFill>
      </fill>
      <border>
        <right style="thin">
          <color auto="1"/>
        </right>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theme="7" tint="0.79998168889431442"/>
        </patternFill>
      </fill>
      <border>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bottom style="thin">
          <color auto="1"/>
        </bottom>
        <vertical/>
        <horizontal/>
      </border>
    </dxf>
    <dxf>
      <font>
        <color theme="1"/>
      </font>
      <fill>
        <patternFill>
          <bgColor theme="7" tint="0.79998168889431442"/>
        </patternFill>
      </fill>
      <border>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bottom style="thin">
          <color auto="1"/>
        </bottom>
        <vertical/>
        <horizontal/>
      </border>
    </dxf>
    <dxf>
      <font>
        <color theme="1"/>
      </font>
      <fill>
        <patternFill>
          <bgColor theme="7" tint="0.79998168889431442"/>
        </patternFill>
      </fill>
      <border>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bottom style="thin">
          <color auto="1"/>
        </bottom>
        <vertical/>
        <horizontal/>
      </border>
    </dxf>
    <dxf>
      <font>
        <color theme="1"/>
      </font>
      <fill>
        <patternFill>
          <bgColor theme="7" tint="0.79998168889431442"/>
        </patternFill>
      </fill>
      <border>
        <left/>
        <right style="thin">
          <color auto="1"/>
        </right>
        <top style="thin">
          <color auto="1"/>
        </top>
        <bottom style="thin">
          <color auto="1"/>
        </bottom>
        <vertical/>
        <horizontal/>
      </border>
    </dxf>
    <dxf>
      <font>
        <color theme="1"/>
      </font>
      <fill>
        <patternFill>
          <bgColor theme="7" tint="0.79998168889431442"/>
        </patternFill>
      </fill>
      <border>
        <left/>
        <right style="thin">
          <color auto="1"/>
        </right>
        <top style="thin">
          <color auto="1"/>
        </top>
        <bottom style="thin">
          <color auto="1"/>
        </bottom>
        <vertical/>
        <horizontal/>
      </border>
    </dxf>
    <dxf>
      <font>
        <color theme="1"/>
      </font>
      <fill>
        <patternFill>
          <bgColor theme="7" tint="0.79998168889431442"/>
        </patternFill>
      </fill>
      <border>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bottom style="thin">
          <color auto="1"/>
        </bottom>
        <vertical/>
        <horizontal/>
      </border>
    </dxf>
    <dxf>
      <font>
        <color theme="1"/>
      </font>
      <fill>
        <patternFill>
          <bgColor theme="7" tint="0.79998168889431442"/>
        </patternFill>
      </fill>
      <border>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732866</xdr:colOff>
      <xdr:row>5</xdr:row>
      <xdr:rowOff>19050</xdr:rowOff>
    </xdr:from>
    <xdr:to>
      <xdr:col>15</xdr:col>
      <xdr:colOff>104776</xdr:colOff>
      <xdr:row>12</xdr:row>
      <xdr:rowOff>119343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152716" y="1019175"/>
          <a:ext cx="3943910" cy="1500468"/>
          <a:chOff x="7115736" y="896471"/>
          <a:chExt cx="4295775" cy="1759323"/>
        </a:xfrm>
      </xdr:grpSpPr>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3774"/>
          <a:stretch/>
        </xdr:blipFill>
        <xdr:spPr bwMode="auto">
          <a:xfrm>
            <a:off x="7115736" y="896471"/>
            <a:ext cx="4295775" cy="162317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楕円 1">
            <a:extLst>
              <a:ext uri="{FF2B5EF4-FFF2-40B4-BE49-F238E27FC236}">
                <a16:creationId xmlns:a16="http://schemas.microsoft.com/office/drawing/2014/main" id="{00000000-0008-0000-0200-000002000000}"/>
              </a:ext>
            </a:extLst>
          </xdr:cNvPr>
          <xdr:cNvSpPr/>
        </xdr:nvSpPr>
        <xdr:spPr>
          <a:xfrm>
            <a:off x="7519147" y="1714500"/>
            <a:ext cx="1972235" cy="94129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xdr:colOff>
      <xdr:row>1</xdr:row>
      <xdr:rowOff>438150</xdr:rowOff>
    </xdr:from>
    <xdr:to>
      <xdr:col>12</xdr:col>
      <xdr:colOff>466725</xdr:colOff>
      <xdr:row>16</xdr:row>
      <xdr:rowOff>38100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858375" y="981075"/>
          <a:ext cx="1143000" cy="336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この辺に源泉徴収票の図か何かを入れて案内。</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ty.kiryu.lg.jp/kurashi/zei/shiminzei/1000667.html" TargetMode="External"/><Relationship Id="rId1" Type="http://schemas.openxmlformats.org/officeDocument/2006/relationships/hyperlink" Target="https://www.pref.gunma.jp/04/a4310094.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showGridLines="0" showRowColHeaders="0" tabSelected="1" zoomScaleNormal="100" workbookViewId="0">
      <selection activeCell="E22" sqref="E22"/>
    </sheetView>
  </sheetViews>
  <sheetFormatPr defaultColWidth="0" defaultRowHeight="15.95" customHeight="1" zeroHeight="1"/>
  <cols>
    <col min="1" max="1" width="6" style="9" customWidth="1"/>
    <col min="2" max="2" width="4.5" style="8" customWidth="1"/>
    <col min="3" max="3" width="18.75" style="9" customWidth="1"/>
    <col min="4" max="17" width="9" style="9" customWidth="1"/>
    <col min="18" max="18" width="9" style="9" hidden="1" customWidth="1"/>
    <col min="19" max="29" width="0" style="9" hidden="1" customWidth="1"/>
    <col min="30" max="16384" width="9" style="9" hidden="1"/>
  </cols>
  <sheetData>
    <row r="1" spans="1:29" s="292" customFormat="1" ht="21.75" customHeight="1">
      <c r="A1" s="289"/>
      <c r="B1" s="290"/>
      <c r="C1" s="291" t="s">
        <v>1088</v>
      </c>
      <c r="D1" s="289"/>
      <c r="E1" s="289"/>
      <c r="F1" s="289"/>
      <c r="G1" s="289"/>
      <c r="H1" s="289"/>
      <c r="I1" s="289"/>
      <c r="J1" s="289"/>
      <c r="K1" s="289"/>
      <c r="L1" s="289"/>
      <c r="M1" s="289"/>
      <c r="N1" s="289"/>
      <c r="O1" s="289"/>
      <c r="P1" s="289"/>
      <c r="Q1" s="289"/>
    </row>
    <row r="2" spans="1:29" s="292" customFormat="1" ht="21.75" customHeight="1">
      <c r="A2" s="289"/>
      <c r="B2" s="290"/>
      <c r="C2" s="291" t="s">
        <v>1226</v>
      </c>
      <c r="D2" s="289"/>
      <c r="E2" s="289"/>
      <c r="F2" s="289"/>
      <c r="G2" s="289"/>
      <c r="H2" s="289"/>
      <c r="I2" s="289"/>
      <c r="J2" s="289"/>
      <c r="K2" s="289"/>
      <c r="L2" s="289"/>
      <c r="M2" s="289"/>
      <c r="N2" s="289"/>
      <c r="O2" s="289"/>
      <c r="P2" s="289"/>
      <c r="Q2" s="289"/>
    </row>
    <row r="3" spans="1:29" s="292" customFormat="1" ht="21.75" customHeight="1">
      <c r="A3" s="289"/>
      <c r="B3" s="290"/>
      <c r="C3" s="289" t="s">
        <v>753</v>
      </c>
      <c r="D3" s="289"/>
      <c r="E3" s="289"/>
      <c r="F3" s="289"/>
      <c r="G3" s="289"/>
      <c r="H3" s="289"/>
      <c r="I3" s="289"/>
      <c r="J3" s="289"/>
      <c r="K3" s="289"/>
      <c r="L3" s="289"/>
      <c r="M3" s="289"/>
      <c r="N3" s="289"/>
      <c r="O3" s="289"/>
      <c r="P3" s="289"/>
      <c r="Q3" s="289"/>
    </row>
    <row r="4" spans="1:29" s="295" customFormat="1" ht="21.75" customHeight="1">
      <c r="A4" s="293"/>
      <c r="B4" s="294" t="s">
        <v>199</v>
      </c>
      <c r="C4" s="293" t="s">
        <v>1483</v>
      </c>
      <c r="D4" s="293"/>
      <c r="E4" s="293"/>
      <c r="F4" s="293"/>
      <c r="G4" s="293"/>
      <c r="H4" s="293"/>
      <c r="I4" s="293"/>
      <c r="J4" s="293"/>
      <c r="K4" s="293"/>
      <c r="L4" s="293"/>
      <c r="M4" s="293"/>
      <c r="N4" s="293"/>
      <c r="O4" s="293"/>
      <c r="P4" s="293"/>
      <c r="Q4" s="293"/>
    </row>
    <row r="5" spans="1:29" s="295" customFormat="1" ht="21.75" customHeight="1">
      <c r="A5" s="293"/>
      <c r="B5" s="296"/>
      <c r="C5" s="882"/>
      <c r="D5" s="883"/>
      <c r="E5" s="883"/>
      <c r="F5" s="883"/>
      <c r="G5" s="883"/>
      <c r="H5" s="883"/>
      <c r="I5" s="883"/>
      <c r="J5" s="883"/>
      <c r="K5" s="884"/>
      <c r="L5" s="293"/>
      <c r="M5" s="293"/>
      <c r="N5" s="293"/>
      <c r="O5" s="293"/>
      <c r="P5" s="293"/>
      <c r="Q5" s="293"/>
    </row>
    <row r="6" spans="1:29" s="295" customFormat="1" ht="9" customHeight="1">
      <c r="A6" s="293"/>
      <c r="B6" s="296"/>
      <c r="C6" s="293"/>
      <c r="D6" s="293"/>
      <c r="E6" s="293"/>
      <c r="F6" s="293"/>
      <c r="G6" s="293"/>
      <c r="H6" s="293"/>
      <c r="I6" s="293"/>
      <c r="J6" s="293"/>
      <c r="K6" s="293"/>
      <c r="L6" s="293"/>
      <c r="M6" s="293"/>
      <c r="N6" s="293"/>
      <c r="O6" s="293"/>
      <c r="P6" s="293"/>
      <c r="Q6" s="293"/>
    </row>
    <row r="7" spans="1:29" s="295" customFormat="1" ht="21.75" customHeight="1">
      <c r="A7" s="293"/>
      <c r="B7" s="294" t="s">
        <v>200</v>
      </c>
      <c r="C7" s="293" t="s">
        <v>1484</v>
      </c>
      <c r="D7" s="293"/>
      <c r="E7" s="293"/>
      <c r="F7" s="293"/>
      <c r="G7" s="293"/>
      <c r="H7" s="293"/>
      <c r="I7" s="293"/>
      <c r="J7" s="293"/>
      <c r="K7" s="293"/>
      <c r="L7" s="293"/>
      <c r="M7" s="293"/>
      <c r="N7" s="293"/>
      <c r="O7" s="293"/>
      <c r="P7" s="293"/>
      <c r="Q7" s="293"/>
    </row>
    <row r="8" spans="1:29" s="295" customFormat="1" ht="21.75" customHeight="1">
      <c r="A8" s="293"/>
      <c r="B8" s="296"/>
      <c r="C8" s="882"/>
      <c r="D8" s="883"/>
      <c r="E8" s="883"/>
      <c r="F8" s="883"/>
      <c r="G8" s="883"/>
      <c r="H8" s="883"/>
      <c r="I8" s="883"/>
      <c r="J8" s="883"/>
      <c r="K8" s="884"/>
      <c r="L8" s="293"/>
      <c r="M8" s="293"/>
      <c r="N8" s="293"/>
      <c r="O8" s="293"/>
      <c r="P8" s="293"/>
      <c r="Q8" s="293"/>
    </row>
    <row r="9" spans="1:29" s="295" customFormat="1" ht="8.25" customHeight="1">
      <c r="A9" s="293"/>
      <c r="B9" s="296"/>
      <c r="C9" s="293"/>
      <c r="D9" s="293"/>
      <c r="E9" s="293"/>
      <c r="F9" s="293"/>
      <c r="G9" s="293"/>
      <c r="H9" s="293"/>
      <c r="I9" s="293"/>
      <c r="J9" s="293"/>
      <c r="K9" s="293"/>
      <c r="L9" s="293"/>
      <c r="M9" s="293"/>
      <c r="N9" s="293"/>
      <c r="O9" s="293"/>
      <c r="P9" s="293"/>
      <c r="Q9" s="293"/>
    </row>
    <row r="10" spans="1:29" s="295" customFormat="1" ht="21.75" customHeight="1">
      <c r="A10" s="293"/>
      <c r="B10" s="294" t="s">
        <v>925</v>
      </c>
      <c r="C10" s="293" t="s">
        <v>196</v>
      </c>
      <c r="D10" s="293"/>
      <c r="E10" s="293"/>
      <c r="F10" s="293"/>
      <c r="G10" s="293"/>
      <c r="H10" s="293"/>
      <c r="I10" s="293"/>
      <c r="J10" s="293"/>
      <c r="K10" s="293"/>
      <c r="L10" s="293"/>
      <c r="M10" s="293"/>
      <c r="N10" s="293"/>
      <c r="O10" s="293"/>
      <c r="P10" s="293"/>
      <c r="Q10" s="293"/>
    </row>
    <row r="11" spans="1:29" s="295" customFormat="1" ht="21.75" customHeight="1">
      <c r="A11" s="293"/>
      <c r="B11" s="296"/>
      <c r="C11" s="619"/>
      <c r="D11" s="293"/>
      <c r="E11" s="293"/>
      <c r="F11" s="293"/>
      <c r="G11" s="293"/>
      <c r="H11" s="293"/>
      <c r="I11" s="293"/>
      <c r="J11" s="293"/>
      <c r="K11" s="293"/>
      <c r="L11" s="293"/>
      <c r="M11" s="293"/>
      <c r="N11" s="293"/>
      <c r="O11" s="293"/>
      <c r="P11" s="293"/>
      <c r="Q11" s="293"/>
    </row>
    <row r="12" spans="1:29" s="295" customFormat="1" ht="8.25" customHeight="1">
      <c r="A12" s="293"/>
      <c r="B12" s="296"/>
      <c r="C12" s="293"/>
      <c r="D12" s="293"/>
      <c r="E12" s="293"/>
      <c r="F12" s="293"/>
      <c r="G12" s="293"/>
      <c r="H12" s="293"/>
      <c r="I12" s="293"/>
      <c r="J12" s="293"/>
      <c r="K12" s="293"/>
      <c r="L12" s="293"/>
      <c r="M12" s="293"/>
      <c r="N12" s="293"/>
      <c r="O12" s="293"/>
      <c r="P12" s="293"/>
      <c r="Q12" s="293"/>
    </row>
    <row r="13" spans="1:29" s="295" customFormat="1" ht="21.75" customHeight="1">
      <c r="A13" s="293"/>
      <c r="B13" s="294" t="s">
        <v>201</v>
      </c>
      <c r="C13" s="293" t="s">
        <v>755</v>
      </c>
      <c r="D13" s="293"/>
      <c r="E13" s="293"/>
      <c r="F13" s="293"/>
      <c r="G13" s="293"/>
      <c r="H13" s="293"/>
      <c r="I13" s="293"/>
      <c r="J13" s="293"/>
      <c r="K13" s="297"/>
      <c r="L13" s="298"/>
      <c r="M13" s="298"/>
      <c r="N13" s="298"/>
      <c r="O13" s="298"/>
      <c r="P13" s="298"/>
      <c r="Q13" s="298"/>
      <c r="R13" s="299"/>
      <c r="S13" s="300"/>
      <c r="T13" s="300"/>
      <c r="U13" s="300"/>
      <c r="V13" s="299"/>
      <c r="W13" s="300"/>
      <c r="X13" s="300"/>
      <c r="Y13" s="300"/>
      <c r="Z13" s="300"/>
      <c r="AA13" s="299"/>
      <c r="AB13" s="300"/>
      <c r="AC13" s="300"/>
    </row>
    <row r="14" spans="1:29" s="295" customFormat="1" ht="21.75" customHeight="1">
      <c r="A14" s="293"/>
      <c r="B14" s="296"/>
      <c r="C14" s="301" t="s">
        <v>198</v>
      </c>
      <c r="D14" s="302" t="s">
        <v>138</v>
      </c>
      <c r="E14" s="302" t="s">
        <v>139</v>
      </c>
      <c r="F14" s="302" t="s">
        <v>140</v>
      </c>
      <c r="G14" s="802"/>
      <c r="H14" s="293"/>
      <c r="I14" s="293"/>
      <c r="J14" s="293"/>
      <c r="K14" s="298"/>
      <c r="L14" s="298"/>
      <c r="M14" s="298"/>
      <c r="N14" s="298"/>
      <c r="O14" s="298"/>
      <c r="P14" s="298"/>
      <c r="Q14" s="298"/>
      <c r="R14" s="299"/>
      <c r="S14" s="300"/>
      <c r="T14" s="300"/>
      <c r="U14" s="300"/>
      <c r="V14" s="299"/>
      <c r="W14" s="300"/>
      <c r="X14" s="300"/>
      <c r="Y14" s="300"/>
      <c r="Z14" s="300"/>
      <c r="AA14" s="299"/>
      <c r="AB14" s="300"/>
      <c r="AC14" s="300"/>
    </row>
    <row r="15" spans="1:29" s="295" customFormat="1" ht="21.75" customHeight="1">
      <c r="A15" s="293"/>
      <c r="B15" s="296"/>
      <c r="C15" s="620" t="s">
        <v>702</v>
      </c>
      <c r="D15" s="620"/>
      <c r="E15" s="620"/>
      <c r="F15" s="620"/>
      <c r="G15" s="303" t="str">
        <f>計算用資料!D9</f>
        <v/>
      </c>
      <c r="I15" s="293"/>
      <c r="J15" s="293"/>
      <c r="K15" s="298"/>
      <c r="L15" s="298"/>
      <c r="M15" s="298"/>
      <c r="N15" s="298"/>
      <c r="O15" s="298"/>
      <c r="P15" s="298"/>
      <c r="Q15" s="298"/>
      <c r="R15" s="300"/>
      <c r="S15" s="300"/>
      <c r="T15" s="300"/>
      <c r="U15" s="300"/>
      <c r="V15" s="300"/>
      <c r="W15" s="300"/>
      <c r="X15" s="300"/>
      <c r="Y15" s="300"/>
      <c r="Z15" s="300"/>
      <c r="AA15" s="300"/>
      <c r="AB15" s="300"/>
      <c r="AC15" s="300"/>
    </row>
    <row r="16" spans="1:29" s="295" customFormat="1" ht="8.25" customHeight="1">
      <c r="A16" s="293"/>
      <c r="B16" s="296"/>
      <c r="C16" s="304"/>
      <c r="D16" s="304"/>
      <c r="E16" s="304"/>
      <c r="F16" s="304"/>
      <c r="G16" s="293"/>
      <c r="H16" s="293"/>
      <c r="I16" s="293"/>
      <c r="J16" s="293"/>
      <c r="K16" s="298"/>
      <c r="L16" s="298"/>
      <c r="M16" s="298"/>
      <c r="N16" s="298"/>
      <c r="O16" s="298"/>
      <c r="P16" s="298"/>
      <c r="Q16" s="298"/>
      <c r="R16" s="300"/>
      <c r="S16" s="300"/>
      <c r="T16" s="300"/>
      <c r="U16" s="300"/>
      <c r="V16" s="300"/>
      <c r="W16" s="300"/>
      <c r="X16" s="300"/>
      <c r="Y16" s="300"/>
      <c r="Z16" s="300"/>
      <c r="AA16" s="300"/>
      <c r="AB16" s="300"/>
      <c r="AC16" s="300"/>
    </row>
    <row r="17" spans="1:17" s="295" customFormat="1" ht="21.75" customHeight="1">
      <c r="A17" s="293"/>
      <c r="B17" s="294" t="s">
        <v>926</v>
      </c>
      <c r="C17" s="887" t="s">
        <v>736</v>
      </c>
      <c r="D17" s="887"/>
      <c r="E17" s="887"/>
      <c r="F17" s="887"/>
      <c r="G17" s="887"/>
      <c r="H17" s="887"/>
      <c r="I17" s="887"/>
      <c r="J17" s="887"/>
      <c r="K17" s="887"/>
      <c r="L17" s="887"/>
      <c r="M17" s="887"/>
      <c r="N17" s="887"/>
      <c r="O17" s="887"/>
      <c r="P17" s="887"/>
      <c r="Q17" s="887"/>
    </row>
    <row r="18" spans="1:17" s="295" customFormat="1" ht="21.75" customHeight="1">
      <c r="A18" s="293"/>
      <c r="B18" s="296"/>
      <c r="C18" s="619"/>
      <c r="D18" s="293"/>
      <c r="E18" s="293"/>
      <c r="F18" s="293"/>
      <c r="G18" s="293"/>
      <c r="H18" s="293"/>
      <c r="I18" s="293"/>
      <c r="J18" s="293"/>
      <c r="K18" s="293"/>
      <c r="L18" s="293"/>
      <c r="M18" s="293"/>
      <c r="N18" s="293"/>
      <c r="O18" s="293"/>
      <c r="P18" s="293"/>
      <c r="Q18" s="293"/>
    </row>
    <row r="19" spans="1:17" s="295" customFormat="1" ht="8.25" customHeight="1">
      <c r="A19" s="293"/>
      <c r="B19" s="296"/>
      <c r="C19" s="293"/>
      <c r="D19" s="293"/>
      <c r="E19" s="293"/>
      <c r="F19" s="293"/>
      <c r="G19" s="293"/>
      <c r="H19" s="293"/>
      <c r="I19" s="293"/>
      <c r="J19" s="293"/>
      <c r="K19" s="293"/>
      <c r="L19" s="293"/>
      <c r="M19" s="293"/>
      <c r="N19" s="293"/>
      <c r="O19" s="293"/>
      <c r="P19" s="293"/>
      <c r="Q19" s="293"/>
    </row>
    <row r="20" spans="1:17" s="295" customFormat="1" ht="21.75" customHeight="1">
      <c r="A20" s="293"/>
      <c r="B20" s="294" t="s">
        <v>927</v>
      </c>
      <c r="C20" s="293" t="s">
        <v>737</v>
      </c>
      <c r="D20" s="293"/>
      <c r="E20" s="293"/>
      <c r="F20" s="293"/>
      <c r="G20" s="293"/>
      <c r="H20" s="293"/>
      <c r="I20" s="293"/>
      <c r="J20" s="293"/>
      <c r="K20" s="293"/>
      <c r="L20" s="293"/>
      <c r="M20" s="293"/>
      <c r="N20" s="293"/>
      <c r="O20" s="293"/>
      <c r="P20" s="293"/>
      <c r="Q20" s="293"/>
    </row>
    <row r="21" spans="1:17" s="295" customFormat="1" ht="21.75" customHeight="1">
      <c r="A21" s="293"/>
      <c r="B21" s="296"/>
      <c r="C21" s="621"/>
      <c r="D21" s="293"/>
      <c r="E21" s="293"/>
      <c r="F21" s="293"/>
      <c r="G21" s="293"/>
      <c r="H21" s="293"/>
      <c r="I21" s="293"/>
      <c r="J21" s="293"/>
      <c r="K21" s="293"/>
      <c r="L21" s="293"/>
      <c r="M21" s="293"/>
      <c r="N21" s="293"/>
      <c r="O21" s="293"/>
      <c r="P21" s="293"/>
      <c r="Q21" s="293"/>
    </row>
    <row r="22" spans="1:17" s="295" customFormat="1" ht="15.95" customHeight="1">
      <c r="A22" s="293"/>
      <c r="B22" s="296"/>
      <c r="C22" s="293"/>
      <c r="D22" s="293"/>
      <c r="E22" s="293"/>
      <c r="F22" s="293"/>
      <c r="G22" s="293"/>
      <c r="H22" s="293"/>
      <c r="I22" s="293"/>
      <c r="J22" s="293"/>
      <c r="K22" s="293"/>
      <c r="L22" s="293"/>
      <c r="M22" s="293"/>
      <c r="N22" s="293"/>
      <c r="O22" s="293"/>
      <c r="P22" s="293"/>
      <c r="Q22" s="293"/>
    </row>
    <row r="23" spans="1:17" s="307" customFormat="1" ht="21" customHeight="1">
      <c r="A23" s="305"/>
      <c r="B23" s="306"/>
      <c r="C23" s="305" t="s">
        <v>296</v>
      </c>
      <c r="D23" s="305"/>
      <c r="E23" s="305"/>
      <c r="F23" s="305"/>
      <c r="G23" s="305"/>
      <c r="H23" s="305"/>
      <c r="I23" s="305"/>
      <c r="J23" s="305"/>
      <c r="K23" s="305"/>
      <c r="L23" s="305"/>
      <c r="M23" s="305"/>
      <c r="N23" s="305"/>
      <c r="O23" s="305"/>
      <c r="P23" s="305"/>
      <c r="Q23" s="305"/>
    </row>
    <row r="24" spans="1:17" s="309" customFormat="1" ht="21" customHeight="1">
      <c r="A24" s="305"/>
      <c r="B24" s="306"/>
      <c r="C24" s="308" t="s">
        <v>297</v>
      </c>
      <c r="D24" s="885" t="s">
        <v>707</v>
      </c>
      <c r="E24" s="885"/>
      <c r="F24" s="885"/>
      <c r="G24" s="885"/>
      <c r="H24" s="885"/>
      <c r="I24" s="305"/>
      <c r="J24" s="305"/>
      <c r="K24" s="305"/>
      <c r="L24" s="305"/>
      <c r="M24" s="305"/>
      <c r="N24" s="305"/>
      <c r="O24" s="305"/>
      <c r="P24" s="305"/>
      <c r="Q24" s="305"/>
    </row>
    <row r="25" spans="1:17" s="309" customFormat="1" ht="21" customHeight="1">
      <c r="A25" s="305"/>
      <c r="B25" s="306"/>
      <c r="C25" s="308" t="s">
        <v>297</v>
      </c>
      <c r="D25" s="885" t="s">
        <v>708</v>
      </c>
      <c r="E25" s="885"/>
      <c r="F25" s="885"/>
      <c r="G25" s="885"/>
      <c r="H25" s="885"/>
      <c r="I25" s="305"/>
      <c r="J25" s="305"/>
      <c r="K25" s="305"/>
      <c r="L25" s="305"/>
      <c r="M25" s="305"/>
      <c r="N25" s="305"/>
      <c r="O25" s="305"/>
      <c r="P25" s="305"/>
      <c r="Q25" s="305"/>
    </row>
    <row r="26" spans="1:17" s="312" customFormat="1" ht="21" hidden="1" customHeight="1">
      <c r="A26" s="310"/>
      <c r="B26" s="311"/>
      <c r="C26" s="310"/>
      <c r="D26" s="310"/>
      <c r="E26" s="310"/>
      <c r="F26" s="310"/>
      <c r="G26" s="310"/>
      <c r="H26" s="310"/>
      <c r="I26" s="310"/>
      <c r="J26" s="310"/>
      <c r="K26" s="310"/>
      <c r="L26" s="310"/>
      <c r="M26" s="310"/>
      <c r="N26" s="310"/>
      <c r="O26" s="310"/>
      <c r="P26" s="310"/>
      <c r="Q26" s="310"/>
    </row>
    <row r="27" spans="1:17" s="886" customFormat="1" ht="15.95" customHeight="1">
      <c r="A27" s="886" t="s">
        <v>952</v>
      </c>
    </row>
    <row r="28" spans="1:17" ht="15.95" hidden="1" customHeight="1"/>
    <row r="29" spans="1:17" ht="15.95" hidden="1" customHeight="1"/>
  </sheetData>
  <sheetProtection algorithmName="SHA-512" hashValue="yEFsDsYQiukBycJfX2+qwbh2FMWH527Aa8QuPC/EiB6t9BCBayXqG3ZWHixP1vK0paFeRITNlx+uLHe/w3ubdw==" saltValue="Mbm9v0CU1RsOnZ//2AsvCg==" spinCount="100000" sheet="1" objects="1" scenarios="1"/>
  <mergeCells count="6">
    <mergeCell ref="C5:K5"/>
    <mergeCell ref="C8:K8"/>
    <mergeCell ref="D24:H24"/>
    <mergeCell ref="D25:H25"/>
    <mergeCell ref="A27:XFD27"/>
    <mergeCell ref="C17:Q17"/>
  </mergeCells>
  <phoneticPr fontId="37"/>
  <dataValidations count="4">
    <dataValidation type="whole" operator="lessThan" allowBlank="1" showInputMessage="1" showErrorMessage="1" errorTitle="数字で入力してください" error="数字のみで入力してください。元年は1と入力してください。" sqref="D15">
      <formula1>3000</formula1>
    </dataValidation>
    <dataValidation type="whole" allowBlank="1" showInputMessage="1" showErrorMessage="1" errorTitle="数字のみで入力してください" error="1～12の数字のみで入力してください。" sqref="E15">
      <formula1>1</formula1>
      <formula2>12</formula2>
    </dataValidation>
    <dataValidation type="whole" allowBlank="1" showInputMessage="1" showErrorMessage="1" errorTitle="数字のみで入力してください" error="1～31の数字のみで入力してください。" sqref="F15">
      <formula1>1</formula1>
      <formula2>31</formula2>
    </dataValidation>
    <dataValidation type="list" allowBlank="1" showInputMessage="1" showErrorMessage="1" errorTitle="選択してください。" error="元号または西暦を選択してください。" sqref="C15">
      <formula1>"選択してください,明治,大正,昭和,平成,令和,西暦"</formula1>
    </dataValidation>
  </dataValidations>
  <hyperlinks>
    <hyperlink ref="D24:H24" location="給与・年金!A1" display="収入の入力に進んでください。こちらをクリック。"/>
    <hyperlink ref="D25:H25" location="収入がない方!A1" display="収入がなかった方はこちらをクリック。"/>
  </hyperlinks>
  <pageMargins left="0.70866141732283472" right="0.70866141732283472" top="0.74803149606299213" bottom="0.74803149606299213" header="0.31496062992125984" footer="0.31496062992125984"/>
  <pageSetup paperSize="9" scale="86" orientation="landscape" r:id="rId1"/>
  <ignoredErrors>
    <ignoredError sqref="B7 B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showRowColHeaders="0" topLeftCell="A20" zoomScaleNormal="100" workbookViewId="0">
      <selection activeCell="I10" sqref="I10:K10"/>
    </sheetView>
  </sheetViews>
  <sheetFormatPr defaultColWidth="0" defaultRowHeight="66" customHeight="1" zeroHeight="1"/>
  <cols>
    <col min="1" max="1" width="3.625" style="10" customWidth="1"/>
    <col min="2" max="2" width="5.125" style="10" customWidth="1"/>
    <col min="3" max="3" width="9" style="10" customWidth="1"/>
    <col min="4" max="4" width="14.375" style="113" customWidth="1"/>
    <col min="5" max="5" width="3.375" style="159" customWidth="1"/>
    <col min="6" max="7" width="12.75" style="159" customWidth="1"/>
    <col min="8" max="8" width="3.5" style="159" customWidth="1"/>
    <col min="9" max="9" width="9" style="159" customWidth="1"/>
    <col min="10" max="10" width="9" style="10" customWidth="1"/>
    <col min="11" max="11" width="3.625" style="10" customWidth="1"/>
    <col min="12" max="12" width="9" style="10" customWidth="1"/>
    <col min="13" max="13" width="12.75" style="10" customWidth="1"/>
    <col min="14" max="15" width="9" style="10" customWidth="1"/>
    <col min="16" max="16" width="3.5" style="27" customWidth="1"/>
    <col min="17" max="17" width="9" style="10" customWidth="1"/>
    <col min="18" max="16384" width="9" style="10" hidden="1"/>
  </cols>
  <sheetData>
    <row r="1" spans="1:17" s="12" customFormat="1" ht="15.95" customHeight="1">
      <c r="A1" s="289"/>
      <c r="B1" s="314" t="s">
        <v>199</v>
      </c>
      <c r="C1" s="327" t="s">
        <v>400</v>
      </c>
      <c r="D1" s="289"/>
      <c r="E1" s="289"/>
      <c r="F1" s="289"/>
      <c r="G1" s="289"/>
      <c r="H1" s="315"/>
      <c r="I1" s="289"/>
      <c r="J1" s="289"/>
      <c r="K1" s="289"/>
      <c r="L1" s="289"/>
      <c r="M1" s="289"/>
      <c r="N1" s="289"/>
      <c r="O1" s="289"/>
      <c r="P1" s="315"/>
      <c r="Q1" s="289"/>
    </row>
    <row r="2" spans="1:17" ht="15.95" customHeight="1">
      <c r="A2" s="320"/>
      <c r="B2" s="320"/>
      <c r="C2" s="320" t="s">
        <v>1206</v>
      </c>
      <c r="D2" s="320"/>
      <c r="E2" s="320"/>
      <c r="F2" s="320"/>
      <c r="G2" s="320"/>
      <c r="H2" s="316"/>
      <c r="I2" s="320"/>
      <c r="J2" s="320"/>
      <c r="K2" s="320"/>
      <c r="L2" s="320"/>
      <c r="M2" s="320"/>
      <c r="N2" s="320"/>
      <c r="O2" s="320"/>
      <c r="P2" s="316"/>
      <c r="Q2" s="320"/>
    </row>
    <row r="3" spans="1:17" ht="15.95" customHeight="1">
      <c r="A3" s="320"/>
      <c r="B3" s="320"/>
      <c r="C3" s="894" t="s">
        <v>401</v>
      </c>
      <c r="D3" s="894"/>
      <c r="E3" s="894"/>
      <c r="F3" s="894" t="s">
        <v>403</v>
      </c>
      <c r="G3" s="894"/>
      <c r="H3" s="894"/>
      <c r="I3" s="894" t="s">
        <v>405</v>
      </c>
      <c r="J3" s="894"/>
      <c r="K3" s="894"/>
      <c r="L3" s="320"/>
      <c r="M3" s="320"/>
      <c r="N3" s="320"/>
      <c r="O3" s="320"/>
      <c r="P3" s="316"/>
      <c r="Q3" s="320"/>
    </row>
    <row r="4" spans="1:17" ht="15.95" customHeight="1">
      <c r="A4" s="320"/>
      <c r="B4" s="320"/>
      <c r="C4" s="961"/>
      <c r="D4" s="962"/>
      <c r="E4" s="410" t="s">
        <v>404</v>
      </c>
      <c r="F4" s="962"/>
      <c r="G4" s="962"/>
      <c r="H4" s="410" t="s">
        <v>404</v>
      </c>
      <c r="I4" s="963">
        <f>計算用資料!D123</f>
        <v>0</v>
      </c>
      <c r="J4" s="963"/>
      <c r="K4" s="410" t="s">
        <v>404</v>
      </c>
      <c r="L4" s="320" t="s">
        <v>1243</v>
      </c>
      <c r="M4" s="320"/>
      <c r="N4" s="320"/>
      <c r="O4" s="320"/>
      <c r="P4" s="316"/>
      <c r="Q4" s="320"/>
    </row>
    <row r="5" spans="1:17" ht="15.95" customHeight="1">
      <c r="A5" s="320"/>
      <c r="B5" s="320"/>
      <c r="C5" s="320"/>
      <c r="D5" s="320"/>
      <c r="E5" s="719"/>
      <c r="F5" s="718"/>
      <c r="G5" s="320"/>
      <c r="H5" s="316"/>
      <c r="I5" s="320"/>
      <c r="J5" s="320"/>
      <c r="K5" s="320"/>
      <c r="L5" s="320"/>
      <c r="M5" s="320"/>
      <c r="N5" s="320"/>
      <c r="O5" s="320"/>
      <c r="P5" s="316"/>
      <c r="Q5" s="320"/>
    </row>
    <row r="6" spans="1:17" s="16" customFormat="1" ht="15.95" customHeight="1">
      <c r="A6" s="355"/>
      <c r="B6" s="355"/>
      <c r="C6" s="355"/>
      <c r="D6" s="342"/>
      <c r="E6" s="342"/>
      <c r="F6" s="411"/>
      <c r="G6" s="411"/>
      <c r="H6" s="412"/>
      <c r="I6" s="355"/>
      <c r="J6" s="355"/>
      <c r="K6" s="355"/>
      <c r="L6" s="355"/>
      <c r="M6" s="355"/>
      <c r="N6" s="355"/>
      <c r="O6" s="355"/>
      <c r="P6" s="319"/>
      <c r="Q6" s="355"/>
    </row>
    <row r="7" spans="1:17" s="12" customFormat="1" ht="15.95" customHeight="1">
      <c r="A7" s="289"/>
      <c r="B7" s="314" t="s">
        <v>203</v>
      </c>
      <c r="C7" s="289" t="s">
        <v>402</v>
      </c>
      <c r="D7" s="289"/>
      <c r="E7" s="289"/>
      <c r="F7" s="289"/>
      <c r="G7" s="289"/>
      <c r="H7" s="315"/>
      <c r="I7" s="289"/>
      <c r="J7" s="289"/>
      <c r="K7" s="289"/>
      <c r="L7" s="289"/>
      <c r="M7" s="289"/>
      <c r="N7" s="289"/>
      <c r="O7" s="289"/>
      <c r="P7" s="315"/>
      <c r="Q7" s="289"/>
    </row>
    <row r="8" spans="1:17" ht="15.95" customHeight="1">
      <c r="A8" s="320"/>
      <c r="B8" s="320"/>
      <c r="C8" s="320" t="s">
        <v>1207</v>
      </c>
      <c r="D8" s="320"/>
      <c r="E8" s="320"/>
      <c r="F8" s="320"/>
      <c r="G8" s="320"/>
      <c r="H8" s="316"/>
      <c r="I8" s="320"/>
      <c r="J8" s="320"/>
      <c r="K8" s="320"/>
      <c r="L8" s="320"/>
      <c r="M8" s="320"/>
      <c r="N8" s="320"/>
      <c r="O8" s="320"/>
      <c r="P8" s="316"/>
      <c r="Q8" s="320"/>
    </row>
    <row r="9" spans="1:17" ht="15.95" customHeight="1">
      <c r="A9" s="320"/>
      <c r="B9" s="320"/>
      <c r="C9" s="320" t="s">
        <v>406</v>
      </c>
      <c r="D9" s="320"/>
      <c r="E9" s="320"/>
      <c r="F9" s="320"/>
      <c r="G9" s="320"/>
      <c r="H9" s="316"/>
      <c r="I9" s="320"/>
      <c r="J9" s="320"/>
      <c r="K9" s="320"/>
      <c r="L9" s="320"/>
      <c r="M9" s="320"/>
      <c r="N9" s="320"/>
      <c r="O9" s="320"/>
      <c r="P9" s="316"/>
      <c r="Q9" s="320"/>
    </row>
    <row r="10" spans="1:17" ht="15.95" customHeight="1">
      <c r="A10" s="320"/>
      <c r="B10" s="320"/>
      <c r="C10" s="894" t="s">
        <v>407</v>
      </c>
      <c r="D10" s="894"/>
      <c r="E10" s="894"/>
      <c r="F10" s="894" t="s">
        <v>403</v>
      </c>
      <c r="G10" s="894"/>
      <c r="H10" s="894"/>
      <c r="I10" s="894" t="s">
        <v>405</v>
      </c>
      <c r="J10" s="894"/>
      <c r="K10" s="894"/>
      <c r="L10" s="320"/>
      <c r="M10" s="320"/>
      <c r="N10" s="320"/>
      <c r="O10" s="320"/>
      <c r="P10" s="316"/>
      <c r="Q10" s="320"/>
    </row>
    <row r="11" spans="1:17" ht="15.95" customHeight="1">
      <c r="A11" s="320"/>
      <c r="B11" s="320"/>
      <c r="C11" s="961"/>
      <c r="D11" s="962"/>
      <c r="E11" s="410" t="s">
        <v>404</v>
      </c>
      <c r="F11" s="962"/>
      <c r="G11" s="962"/>
      <c r="H11" s="410" t="s">
        <v>404</v>
      </c>
      <c r="I11" s="963">
        <f>計算用資料!F123</f>
        <v>0</v>
      </c>
      <c r="J11" s="963"/>
      <c r="K11" s="410" t="s">
        <v>404</v>
      </c>
      <c r="L11" s="320"/>
      <c r="M11" s="320"/>
      <c r="N11" s="320"/>
      <c r="O11" s="320"/>
      <c r="P11" s="316"/>
      <c r="Q11" s="320"/>
    </row>
    <row r="12" spans="1:17" ht="15.95" customHeight="1">
      <c r="A12" s="320"/>
      <c r="B12" s="320"/>
      <c r="C12" s="320"/>
      <c r="D12" s="320"/>
      <c r="E12" s="320"/>
      <c r="F12" s="320"/>
      <c r="G12" s="320"/>
      <c r="H12" s="316"/>
      <c r="I12" s="320"/>
      <c r="J12" s="320"/>
      <c r="K12" s="320"/>
      <c r="L12" s="320"/>
      <c r="M12" s="320"/>
      <c r="N12" s="320"/>
      <c r="O12" s="320"/>
      <c r="P12" s="316"/>
      <c r="Q12" s="320"/>
    </row>
    <row r="13" spans="1:17" ht="15.95" customHeight="1">
      <c r="A13" s="320"/>
      <c r="B13" s="320"/>
      <c r="C13" s="954" t="str">
        <f>計算用資料!L123</f>
        <v/>
      </c>
      <c r="D13" s="954"/>
      <c r="E13" s="954"/>
      <c r="F13" s="954"/>
      <c r="G13" s="954"/>
      <c r="H13" s="954"/>
      <c r="I13" s="954"/>
      <c r="J13" s="954"/>
      <c r="K13" s="954"/>
      <c r="L13" s="954"/>
      <c r="M13" s="954"/>
      <c r="N13" s="954"/>
      <c r="O13" s="954"/>
      <c r="P13" s="954"/>
      <c r="Q13" s="413"/>
    </row>
    <row r="14" spans="1:17" ht="15.95" customHeight="1">
      <c r="A14" s="320"/>
      <c r="B14" s="320"/>
      <c r="C14" s="954"/>
      <c r="D14" s="954"/>
      <c r="E14" s="954"/>
      <c r="F14" s="954"/>
      <c r="G14" s="954"/>
      <c r="H14" s="954"/>
      <c r="I14" s="954"/>
      <c r="J14" s="954"/>
      <c r="K14" s="954"/>
      <c r="L14" s="954"/>
      <c r="M14" s="954"/>
      <c r="N14" s="954"/>
      <c r="O14" s="954"/>
      <c r="P14" s="954"/>
      <c r="Q14" s="413"/>
    </row>
    <row r="15" spans="1:17" s="12" customFormat="1" ht="15.95" customHeight="1">
      <c r="A15" s="289"/>
      <c r="B15" s="314" t="s">
        <v>409</v>
      </c>
      <c r="C15" s="289" t="s">
        <v>408</v>
      </c>
      <c r="D15" s="289"/>
      <c r="E15" s="289"/>
      <c r="F15" s="289"/>
      <c r="G15" s="289"/>
      <c r="H15" s="315"/>
      <c r="I15" s="289"/>
      <c r="J15" s="289"/>
      <c r="K15" s="289"/>
      <c r="L15" s="289"/>
      <c r="M15" s="289"/>
      <c r="N15" s="289"/>
      <c r="O15" s="289"/>
      <c r="P15" s="315"/>
      <c r="Q15" s="289"/>
    </row>
    <row r="16" spans="1:17" ht="15.95" customHeight="1">
      <c r="A16" s="320"/>
      <c r="B16" s="329"/>
      <c r="C16" s="937" t="s">
        <v>960</v>
      </c>
      <c r="D16" s="937"/>
      <c r="E16" s="937"/>
      <c r="F16" s="937"/>
      <c r="G16" s="937"/>
      <c r="H16" s="937"/>
      <c r="I16" s="937"/>
      <c r="J16" s="937"/>
      <c r="K16" s="937"/>
      <c r="L16" s="937"/>
      <c r="M16" s="937"/>
      <c r="N16" s="937"/>
      <c r="O16" s="937"/>
      <c r="P16" s="937"/>
      <c r="Q16" s="320"/>
    </row>
    <row r="17" spans="1:17" ht="15.95" customHeight="1">
      <c r="A17" s="320"/>
      <c r="B17" s="329"/>
      <c r="C17" s="930"/>
      <c r="D17" s="930"/>
      <c r="E17" s="930"/>
      <c r="F17" s="930"/>
      <c r="G17" s="930"/>
      <c r="H17" s="930"/>
      <c r="I17" s="930"/>
      <c r="J17" s="930"/>
      <c r="K17" s="930"/>
      <c r="L17" s="930"/>
      <c r="M17" s="930"/>
      <c r="N17" s="930"/>
      <c r="O17" s="930"/>
      <c r="P17" s="930"/>
      <c r="Q17" s="320"/>
    </row>
    <row r="18" spans="1:17" ht="15.95" customHeight="1">
      <c r="A18" s="320"/>
      <c r="B18" s="329"/>
      <c r="C18" s="894" t="s">
        <v>778</v>
      </c>
      <c r="D18" s="894"/>
      <c r="E18" s="894"/>
      <c r="F18" s="894"/>
      <c r="G18" s="894"/>
      <c r="H18" s="961"/>
      <c r="I18" s="962"/>
      <c r="J18" s="962"/>
      <c r="K18" s="410" t="s">
        <v>404</v>
      </c>
      <c r="L18" s="897" t="s">
        <v>413</v>
      </c>
      <c r="M18" s="898"/>
      <c r="N18" s="961"/>
      <c r="O18" s="962"/>
      <c r="P18" s="410" t="s">
        <v>404</v>
      </c>
      <c r="Q18" s="320"/>
    </row>
    <row r="19" spans="1:17" ht="15.95" customHeight="1">
      <c r="A19" s="320"/>
      <c r="B19" s="329"/>
      <c r="C19" s="934" t="s">
        <v>410</v>
      </c>
      <c r="D19" s="934"/>
      <c r="E19" s="934"/>
      <c r="F19" s="934"/>
      <c r="G19" s="934"/>
      <c r="H19" s="964"/>
      <c r="I19" s="965"/>
      <c r="J19" s="965"/>
      <c r="K19" s="968" t="s">
        <v>404</v>
      </c>
      <c r="L19" s="897" t="s">
        <v>411</v>
      </c>
      <c r="M19" s="898"/>
      <c r="N19" s="961"/>
      <c r="O19" s="962"/>
      <c r="P19" s="410" t="s">
        <v>404</v>
      </c>
      <c r="Q19" s="320"/>
    </row>
    <row r="20" spans="1:17" ht="15.95" customHeight="1">
      <c r="A20" s="320"/>
      <c r="B20" s="320"/>
      <c r="C20" s="934"/>
      <c r="D20" s="934"/>
      <c r="E20" s="934"/>
      <c r="F20" s="934"/>
      <c r="G20" s="934"/>
      <c r="H20" s="966"/>
      <c r="I20" s="967"/>
      <c r="J20" s="967"/>
      <c r="K20" s="969"/>
      <c r="L20" s="897" t="s">
        <v>412</v>
      </c>
      <c r="M20" s="898"/>
      <c r="N20" s="961"/>
      <c r="O20" s="962"/>
      <c r="P20" s="410" t="s">
        <v>404</v>
      </c>
      <c r="Q20" s="320"/>
    </row>
    <row r="21" spans="1:17" s="686" customFormat="1" ht="15.95" customHeight="1">
      <c r="A21" s="685"/>
      <c r="B21" s="685"/>
      <c r="C21" s="955" t="s">
        <v>1133</v>
      </c>
      <c r="D21" s="955"/>
      <c r="E21" s="957" t="s">
        <v>1131</v>
      </c>
      <c r="F21" s="957"/>
      <c r="G21" s="957"/>
      <c r="H21" s="957"/>
      <c r="I21" s="957"/>
      <c r="J21" s="957"/>
      <c r="K21" s="957"/>
      <c r="L21" s="959" t="s">
        <v>1135</v>
      </c>
      <c r="M21" s="959"/>
      <c r="N21" s="959"/>
      <c r="O21" s="959"/>
      <c r="P21" s="689"/>
      <c r="Q21" s="685"/>
    </row>
    <row r="22" spans="1:17" s="688" customFormat="1" ht="15.95" customHeight="1">
      <c r="A22" s="687"/>
      <c r="B22" s="687"/>
      <c r="C22" s="956" t="s">
        <v>1134</v>
      </c>
      <c r="D22" s="956"/>
      <c r="E22" s="958" t="s">
        <v>1132</v>
      </c>
      <c r="F22" s="958"/>
      <c r="G22" s="958"/>
      <c r="H22" s="958"/>
      <c r="I22" s="958"/>
      <c r="J22" s="958"/>
      <c r="K22" s="958"/>
      <c r="L22" s="960"/>
      <c r="M22" s="960"/>
      <c r="N22" s="960"/>
      <c r="O22" s="960"/>
      <c r="P22" s="690"/>
      <c r="Q22" s="687"/>
    </row>
    <row r="23" spans="1:17" s="688" customFormat="1" ht="8.1" customHeight="1">
      <c r="A23" s="687"/>
      <c r="B23" s="687"/>
      <c r="C23" s="691"/>
      <c r="D23" s="691"/>
      <c r="E23" s="692"/>
      <c r="F23" s="692"/>
      <c r="G23" s="692"/>
      <c r="H23" s="692"/>
      <c r="I23" s="692"/>
      <c r="J23" s="692"/>
      <c r="K23" s="692"/>
      <c r="L23" s="693"/>
      <c r="M23" s="693"/>
      <c r="N23" s="693"/>
      <c r="O23" s="693"/>
      <c r="P23" s="690"/>
      <c r="Q23" s="687"/>
    </row>
    <row r="24" spans="1:17" s="76" customFormat="1" ht="15.95" customHeight="1">
      <c r="A24" s="360"/>
      <c r="B24" s="414"/>
      <c r="C24" s="363" t="s">
        <v>307</v>
      </c>
      <c r="D24" s="885" t="s">
        <v>720</v>
      </c>
      <c r="E24" s="885"/>
      <c r="F24" s="885"/>
      <c r="G24" s="885"/>
      <c r="H24" s="885"/>
      <c r="I24" s="885"/>
      <c r="J24" s="363" t="s">
        <v>307</v>
      </c>
      <c r="K24" s="885" t="s">
        <v>716</v>
      </c>
      <c r="L24" s="885"/>
      <c r="M24" s="885"/>
      <c r="N24" s="885"/>
      <c r="O24" s="885"/>
      <c r="P24" s="885"/>
      <c r="Q24" s="885"/>
    </row>
    <row r="25" spans="1:17" s="76" customFormat="1" ht="15.95" customHeight="1">
      <c r="A25" s="360"/>
      <c r="B25" s="414"/>
      <c r="C25" s="308" t="s">
        <v>307</v>
      </c>
      <c r="D25" s="885" t="s">
        <v>717</v>
      </c>
      <c r="E25" s="885"/>
      <c r="F25" s="885"/>
      <c r="G25" s="885"/>
      <c r="H25" s="885"/>
      <c r="I25" s="885"/>
      <c r="J25" s="363" t="s">
        <v>307</v>
      </c>
      <c r="K25" s="885" t="s">
        <v>718</v>
      </c>
      <c r="L25" s="885"/>
      <c r="M25" s="885"/>
      <c r="N25" s="885"/>
      <c r="O25" s="885"/>
      <c r="P25" s="885"/>
      <c r="Q25" s="885"/>
    </row>
    <row r="26" spans="1:17" s="76" customFormat="1" ht="15.95" customHeight="1">
      <c r="A26" s="360"/>
      <c r="B26" s="414"/>
      <c r="C26" s="363" t="s">
        <v>307</v>
      </c>
      <c r="D26" s="885" t="s">
        <v>715</v>
      </c>
      <c r="E26" s="885"/>
      <c r="F26" s="885"/>
      <c r="G26" s="885"/>
      <c r="H26" s="885"/>
      <c r="I26" s="885"/>
      <c r="J26" s="363"/>
      <c r="K26" s="415"/>
      <c r="L26" s="415"/>
      <c r="M26" s="415"/>
      <c r="N26" s="415"/>
      <c r="O26" s="415"/>
      <c r="P26" s="415"/>
      <c r="Q26" s="415"/>
    </row>
    <row r="27" spans="1:17" ht="15.95" customHeight="1">
      <c r="A27" s="416"/>
      <c r="B27" s="416"/>
      <c r="C27" s="409" t="s">
        <v>307</v>
      </c>
      <c r="D27" s="885" t="s">
        <v>1218</v>
      </c>
      <c r="E27" s="885"/>
      <c r="F27" s="885"/>
      <c r="G27" s="885"/>
      <c r="H27" s="417"/>
      <c r="I27" s="417"/>
      <c r="J27" s="409" t="s">
        <v>827</v>
      </c>
      <c r="K27" s="909" t="s">
        <v>309</v>
      </c>
      <c r="L27" s="909"/>
      <c r="M27" s="909"/>
      <c r="N27" s="909"/>
      <c r="O27" s="909"/>
      <c r="P27" s="909"/>
      <c r="Q27" s="416"/>
    </row>
    <row r="28" spans="1:17" ht="15.95" hidden="1" customHeight="1">
      <c r="A28" s="418"/>
      <c r="B28" s="418"/>
      <c r="C28" s="418"/>
      <c r="D28" s="419"/>
      <c r="E28" s="419"/>
      <c r="F28" s="419"/>
      <c r="G28" s="419"/>
      <c r="H28" s="419"/>
      <c r="I28" s="419"/>
      <c r="J28" s="418"/>
      <c r="K28" s="418"/>
      <c r="L28" s="418"/>
      <c r="M28" s="418"/>
      <c r="N28" s="418"/>
      <c r="O28" s="418"/>
      <c r="P28" s="420"/>
      <c r="Q28" s="418"/>
    </row>
    <row r="29" spans="1:17" s="267" customFormat="1" ht="15.95" customHeight="1">
      <c r="A29" s="886" t="s">
        <v>952</v>
      </c>
      <c r="B29" s="886"/>
      <c r="C29" s="886"/>
      <c r="D29" s="886"/>
      <c r="E29" s="886"/>
      <c r="F29" s="886"/>
      <c r="G29" s="886"/>
      <c r="H29" s="886"/>
      <c r="I29" s="886"/>
      <c r="J29" s="886"/>
      <c r="K29" s="886"/>
      <c r="L29" s="886"/>
      <c r="M29" s="886"/>
      <c r="N29" s="886"/>
      <c r="O29" s="886"/>
      <c r="P29" s="886"/>
      <c r="Q29" s="886"/>
    </row>
    <row r="30" spans="1:17" ht="66" hidden="1" customHeight="1"/>
    <row r="31" spans="1:17" ht="66" hidden="1" customHeight="1"/>
  </sheetData>
  <sheetProtection algorithmName="SHA-512" hashValue="yoeeOL1BwBKUu2vIWRvGfiD6XXWkH5dGFuZ+qqPjmVZYf6FaKzOdSM+MFGIoC7E2NDY0C3bMRnHMwJre/NGK8w==" saltValue="oQbKMtuzn1Zn8l9xU7gcCw==" spinCount="100000" sheet="1" objects="1" scenarios="1"/>
  <mergeCells count="38">
    <mergeCell ref="A29:Q29"/>
    <mergeCell ref="C16:P17"/>
    <mergeCell ref="H18:J18"/>
    <mergeCell ref="H19:J20"/>
    <mergeCell ref="K19:K20"/>
    <mergeCell ref="C19:G20"/>
    <mergeCell ref="C18:G18"/>
    <mergeCell ref="N18:O18"/>
    <mergeCell ref="N19:O19"/>
    <mergeCell ref="N20:O20"/>
    <mergeCell ref="L18:M18"/>
    <mergeCell ref="L19:M19"/>
    <mergeCell ref="L20:M20"/>
    <mergeCell ref="D27:G27"/>
    <mergeCell ref="D24:I24"/>
    <mergeCell ref="D25:I25"/>
    <mergeCell ref="I10:K10"/>
    <mergeCell ref="I11:J11"/>
    <mergeCell ref="C10:E10"/>
    <mergeCell ref="F10:H10"/>
    <mergeCell ref="C11:D11"/>
    <mergeCell ref="F11:G11"/>
    <mergeCell ref="C3:E3"/>
    <mergeCell ref="F3:H3"/>
    <mergeCell ref="I3:K3"/>
    <mergeCell ref="C4:D4"/>
    <mergeCell ref="F4:G4"/>
    <mergeCell ref="I4:J4"/>
    <mergeCell ref="D26:I26"/>
    <mergeCell ref="K24:Q24"/>
    <mergeCell ref="K25:Q25"/>
    <mergeCell ref="K27:P27"/>
    <mergeCell ref="C13:P14"/>
    <mergeCell ref="C21:D21"/>
    <mergeCell ref="C22:D22"/>
    <mergeCell ref="E21:K21"/>
    <mergeCell ref="E22:K22"/>
    <mergeCell ref="L21:O22"/>
  </mergeCells>
  <phoneticPr fontId="37"/>
  <dataValidations count="1">
    <dataValidation type="whole" allowBlank="1" showInputMessage="1" showErrorMessage="1" errorTitle="整数で入力してください。" error="整数で入力してください。" sqref="C4:D4 F4:G4 F11:G11 C11:D11 I18:J20 H18:H20 N18:O20">
      <formula1>0</formula1>
      <formula2>9999999999</formula2>
    </dataValidation>
  </dataValidations>
  <hyperlinks>
    <hyperlink ref="K25" location="寡婦・ひとり親・勤労学生!A1" display="寡婦・ひとり親・勤労学生控除を申告する方はこちら。"/>
    <hyperlink ref="D24" location="社会保険料・生命保険料!A1" display="社会保険料・生命保険料・地震保険料控除を申告する方はこちら。"/>
    <hyperlink ref="K24" location="配偶者・扶養親族!A1" display="配偶者・扶養控除を申告する方はこちら。"/>
    <hyperlink ref="D25" location="障害者控除!A1" display="障害者控除を申告する方はこちら。"/>
    <hyperlink ref="D26" location="収入1!A1" display="給与収入・公的年金収入の入力をする方はこちら。"/>
    <hyperlink ref="D27" location="はじめに!A1" display="個人情報の入力をする方はこちら"/>
    <hyperlink ref="D24:I24" location="社会保険・生命・地震保険!A1" display="社会保険料・生命保険料・地震保険料控除を申告する方。"/>
    <hyperlink ref="D25:I25" location="障害者控除!A1" display="障害者控除を申告する方はこちら。"/>
    <hyperlink ref="D26:I26" location="給与・年金!A1" display="収入金額を修正する方はこちら。"/>
    <hyperlink ref="D27:G27" location="はじめに!A1" display="個人情報の入力をする方はこちら"/>
    <hyperlink ref="K24:Q24" location="配偶者・扶養!A1" display="配偶者・扶養控除を申告する方はこちら。"/>
    <hyperlink ref="K25:Q25" location="寡婦・ひとり親・勤労学生!A1" display="寡婦・ひとり親・勤労学生控除を申告する方はこちら。"/>
    <hyperlink ref="K27:P27" location="'市民税・県民税申告書（印刷）'!A1" display="控除の入力が終了した方はこちら。申告書の印刷に進みます。"/>
    <hyperlink ref="E21" r:id="rId1"/>
    <hyperlink ref="E22" r:id="rId2"/>
  </hyperlinks>
  <pageMargins left="0.7" right="0.7" top="0.75" bottom="0.75" header="0.3" footer="0.3"/>
  <pageSetup paperSize="9" scale="96"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P333"/>
  <sheetViews>
    <sheetView showGridLines="0" showRowColHeaders="0" zoomScale="106" zoomScaleNormal="106" zoomScaleSheetLayoutView="115" workbookViewId="0">
      <pane ySplit="5" topLeftCell="A6" activePane="bottomLeft" state="frozen"/>
      <selection activeCell="I18" sqref="I18"/>
      <selection pane="bottomLeft" activeCell="AM22" sqref="AM22:AN23"/>
    </sheetView>
  </sheetViews>
  <sheetFormatPr defaultColWidth="0" defaultRowHeight="13.5" zeroHeight="1"/>
  <cols>
    <col min="1" max="55" width="2.125" style="1" customWidth="1"/>
    <col min="56" max="110" width="2.125" style="1" hidden="1" customWidth="1"/>
    <col min="111" max="111" width="2.75" style="5" hidden="1" customWidth="1"/>
    <col min="112" max="120" width="9" hidden="1" customWidth="1"/>
    <col min="121" max="16384" width="9" style="1" hidden="1"/>
  </cols>
  <sheetData>
    <row r="1" spans="1:120" ht="16.5">
      <c r="A1" s="1034" t="str">
        <f>IF(OR(はじめに!C5="",はじめに!C11="",計算用資料!H6=""),"申告する人の住所、電話番号、生年月日のいずれかが未入力です。確認してください。","")</f>
        <v>申告する人の住所、電話番号、生年月日のいずれかが未入力です。確認してください。</v>
      </c>
      <c r="B1" s="1034"/>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c r="AC1" s="1034"/>
      <c r="AD1" s="1034"/>
      <c r="AE1" s="1034"/>
      <c r="AF1" s="1034"/>
      <c r="AG1" s="1034"/>
      <c r="AH1" s="1034"/>
      <c r="AI1" s="1034"/>
      <c r="AJ1" s="1034"/>
      <c r="AK1" s="1034"/>
      <c r="AL1" s="1034"/>
      <c r="AM1" s="1034"/>
      <c r="AN1" s="1034"/>
      <c r="AO1" s="1034"/>
      <c r="AP1" s="1034"/>
      <c r="AQ1" s="1034"/>
      <c r="AR1" s="1034"/>
      <c r="AS1" s="1034"/>
      <c r="AT1" s="1034"/>
      <c r="AU1" s="1034"/>
      <c r="AV1" s="1034"/>
      <c r="AW1" s="1034"/>
      <c r="AX1" s="1034"/>
      <c r="AY1" s="1034"/>
      <c r="AZ1" s="1034"/>
      <c r="BA1" s="1034"/>
      <c r="BB1" s="1034"/>
      <c r="BC1" s="701"/>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H1" s="109"/>
      <c r="DI1" s="109"/>
      <c r="DJ1" s="109"/>
      <c r="DK1" s="109"/>
      <c r="DL1" s="109"/>
      <c r="DM1" s="109"/>
      <c r="DN1" s="109"/>
      <c r="DO1" s="109"/>
      <c r="DP1" s="109"/>
    </row>
    <row r="2" spans="1:120" ht="16.5">
      <c r="A2" s="1034" t="s">
        <v>953</v>
      </c>
      <c r="B2" s="1034"/>
      <c r="C2" s="1034"/>
      <c r="D2" s="1034"/>
      <c r="E2" s="1034"/>
      <c r="F2" s="1034"/>
      <c r="G2" s="1034"/>
      <c r="H2" s="1034"/>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4"/>
      <c r="AM2" s="1034"/>
      <c r="AN2" s="1034"/>
      <c r="AO2" s="1034"/>
      <c r="AP2" s="1034"/>
      <c r="AQ2" s="1034"/>
      <c r="AR2" s="1034"/>
      <c r="AS2" s="1034"/>
      <c r="AT2" s="1034"/>
      <c r="AU2" s="1034"/>
      <c r="AV2" s="1034"/>
      <c r="AW2" s="1034"/>
      <c r="AX2" s="1034"/>
      <c r="AY2" s="1034"/>
      <c r="AZ2" s="1034"/>
      <c r="BA2" s="1034"/>
      <c r="BB2" s="1034"/>
      <c r="BC2" s="1034"/>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H2" s="109"/>
      <c r="DI2" s="109"/>
      <c r="DJ2" s="109"/>
      <c r="DK2" s="109"/>
      <c r="DL2" s="109"/>
      <c r="DM2" s="109"/>
      <c r="DN2" s="109"/>
      <c r="DO2" s="109"/>
      <c r="DP2" s="109"/>
    </row>
    <row r="3" spans="1:120" s="240" customFormat="1" ht="15.75">
      <c r="A3" s="1637" t="s">
        <v>954</v>
      </c>
      <c r="B3" s="1638"/>
      <c r="C3" s="1638"/>
      <c r="D3" s="1638"/>
      <c r="E3" s="1638"/>
      <c r="F3" s="1638"/>
      <c r="G3" s="1638"/>
      <c r="H3" s="1638"/>
      <c r="I3" s="1638"/>
      <c r="J3" s="1638"/>
      <c r="K3" s="1638"/>
      <c r="L3" s="1638"/>
      <c r="M3" s="1638"/>
      <c r="N3" s="1638"/>
      <c r="O3" s="1638"/>
      <c r="P3" s="1638"/>
      <c r="Q3" s="1638"/>
      <c r="R3" s="1638"/>
      <c r="S3" s="1638"/>
      <c r="T3" s="1638"/>
      <c r="U3" s="1638"/>
      <c r="V3" s="1638"/>
      <c r="W3" s="1638"/>
      <c r="X3" s="1638"/>
      <c r="Y3" s="1638"/>
      <c r="Z3" s="1638"/>
      <c r="AA3" s="1638"/>
      <c r="AB3" s="1638"/>
      <c r="AC3" s="1638"/>
      <c r="AD3" s="1638"/>
      <c r="AE3" s="1638"/>
      <c r="AF3" s="1638"/>
      <c r="AG3" s="1638"/>
      <c r="AH3" s="1638"/>
      <c r="AI3" s="1638"/>
      <c r="AJ3" s="1638"/>
      <c r="AK3" s="1638"/>
      <c r="AL3" s="1638"/>
      <c r="AM3" s="1638"/>
      <c r="AN3" s="1638"/>
      <c r="AO3" s="1638"/>
      <c r="AP3" s="1638"/>
      <c r="AQ3" s="1638"/>
      <c r="AR3" s="1638"/>
      <c r="AS3" s="1638"/>
      <c r="AT3" s="1638"/>
      <c r="AU3" s="1638"/>
      <c r="AV3" s="1638"/>
      <c r="AW3" s="1638"/>
      <c r="AX3" s="1638"/>
      <c r="AY3" s="1638"/>
      <c r="AZ3" s="1638"/>
      <c r="BA3" s="1638"/>
      <c r="BB3" s="1638"/>
      <c r="BC3" s="1638"/>
      <c r="DG3" s="241"/>
      <c r="DH3" s="242"/>
      <c r="DI3" s="242"/>
      <c r="DJ3" s="242"/>
      <c r="DK3" s="242"/>
      <c r="DL3" s="242"/>
      <c r="DM3" s="242"/>
      <c r="DN3" s="242"/>
      <c r="DO3" s="242"/>
      <c r="DP3" s="242"/>
    </row>
    <row r="4" spans="1:120" ht="16.5" thickBot="1">
      <c r="A4" s="1491" t="s">
        <v>1087</v>
      </c>
      <c r="B4" s="1491"/>
      <c r="C4" s="1491"/>
      <c r="D4" s="1491"/>
      <c r="E4" s="1491"/>
      <c r="F4" s="1491"/>
      <c r="G4" s="1491"/>
      <c r="H4" s="1491"/>
      <c r="I4" s="1491"/>
      <c r="J4" s="1491"/>
      <c r="K4" s="1491"/>
      <c r="L4" s="1491"/>
      <c r="M4" s="1491"/>
      <c r="N4" s="1491"/>
      <c r="O4" s="1491"/>
      <c r="P4" s="1491"/>
      <c r="Q4" s="1491"/>
      <c r="R4" s="1491"/>
      <c r="S4" s="1491"/>
      <c r="T4" s="1491"/>
      <c r="U4" s="1491"/>
      <c r="V4" s="1491"/>
      <c r="W4" s="1491"/>
      <c r="X4" s="1491"/>
      <c r="Y4" s="1491"/>
      <c r="Z4" s="1491"/>
      <c r="AA4" s="1491"/>
      <c r="AB4" s="1491"/>
      <c r="AC4" s="1491"/>
      <c r="AD4" s="1491"/>
      <c r="AE4" s="1491"/>
      <c r="AF4" s="1491"/>
      <c r="AG4" s="1491"/>
      <c r="AH4" s="1491"/>
      <c r="AI4" s="1491"/>
      <c r="AJ4" s="1491"/>
      <c r="AK4" s="1491"/>
      <c r="AL4" s="1491"/>
      <c r="AM4" s="1491"/>
      <c r="AN4" s="1491"/>
      <c r="AO4" s="1491"/>
      <c r="AP4" s="1491"/>
      <c r="AQ4" s="1491"/>
      <c r="AR4" s="1491"/>
      <c r="AS4" s="1491"/>
      <c r="AT4" s="1491"/>
      <c r="AU4" s="1491"/>
      <c r="AV4" s="1491"/>
      <c r="AW4" s="1491"/>
      <c r="AX4" s="1491"/>
      <c r="AY4" s="1491"/>
      <c r="AZ4" s="1491"/>
      <c r="BA4" s="1491"/>
      <c r="BB4" s="1491"/>
      <c r="BC4" s="421"/>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H4" s="109"/>
      <c r="DI4" s="109"/>
      <c r="DJ4" s="109"/>
      <c r="DK4" s="109"/>
      <c r="DL4" s="109"/>
      <c r="DM4" s="109"/>
      <c r="DN4" s="109"/>
      <c r="DO4" s="109"/>
      <c r="DP4" s="109"/>
    </row>
    <row r="5" spans="1:120" s="246" customFormat="1" ht="16.5" thickBot="1">
      <c r="A5" s="422"/>
      <c r="B5" s="422"/>
      <c r="C5" s="422"/>
      <c r="D5" s="422"/>
      <c r="E5" s="1073" t="s">
        <v>1216</v>
      </c>
      <c r="F5" s="1074"/>
      <c r="G5" s="1074"/>
      <c r="H5" s="1074"/>
      <c r="I5" s="1074"/>
      <c r="J5" s="1074"/>
      <c r="K5" s="1074"/>
      <c r="L5" s="1074"/>
      <c r="M5" s="1074"/>
      <c r="N5" s="1074"/>
      <c r="O5" s="1074"/>
      <c r="P5" s="1074"/>
      <c r="Q5" s="1074"/>
      <c r="R5" s="1074"/>
      <c r="S5" s="1075"/>
      <c r="T5" s="423"/>
      <c r="U5" s="423"/>
      <c r="V5" s="423"/>
      <c r="W5" s="1031" t="s">
        <v>715</v>
      </c>
      <c r="X5" s="1032"/>
      <c r="Y5" s="1032"/>
      <c r="Z5" s="1032"/>
      <c r="AA5" s="1032"/>
      <c r="AB5" s="1032"/>
      <c r="AC5" s="1032"/>
      <c r="AD5" s="1032"/>
      <c r="AE5" s="1032"/>
      <c r="AF5" s="1032"/>
      <c r="AG5" s="1032"/>
      <c r="AH5" s="1032"/>
      <c r="AI5" s="1032"/>
      <c r="AJ5" s="1033"/>
      <c r="AK5" s="423"/>
      <c r="AL5" s="423"/>
      <c r="AM5" s="423"/>
      <c r="AN5" s="1031" t="s">
        <v>825</v>
      </c>
      <c r="AO5" s="1032"/>
      <c r="AP5" s="1032"/>
      <c r="AQ5" s="1032"/>
      <c r="AR5" s="1032"/>
      <c r="AS5" s="1032"/>
      <c r="AT5" s="1032"/>
      <c r="AU5" s="1032"/>
      <c r="AV5" s="1032"/>
      <c r="AW5" s="1032"/>
      <c r="AX5" s="1032"/>
      <c r="AY5" s="1032"/>
      <c r="AZ5" s="1033"/>
      <c r="BA5" s="422"/>
      <c r="BB5" s="422"/>
      <c r="BC5" s="424"/>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4"/>
      <c r="DH5" s="245"/>
      <c r="DI5" s="245"/>
      <c r="DJ5" s="245"/>
      <c r="DK5" s="245"/>
      <c r="DL5" s="245"/>
      <c r="DM5" s="245"/>
      <c r="DN5" s="245"/>
      <c r="DO5" s="245"/>
      <c r="DP5" s="245"/>
    </row>
    <row r="6" spans="1:120" ht="15" customHeight="1">
      <c r="A6" s="1055" t="s">
        <v>1496</v>
      </c>
      <c r="B6" s="1055"/>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1055"/>
      <c r="AF6" s="1055"/>
      <c r="AG6" s="1055"/>
      <c r="AH6" s="1055"/>
      <c r="AI6" s="1055"/>
      <c r="AJ6" s="1055"/>
      <c r="AK6" s="1055"/>
      <c r="AL6" s="1055"/>
      <c r="AM6" s="1055"/>
      <c r="AN6" s="1055"/>
      <c r="AO6" s="1055"/>
      <c r="AP6" s="1055"/>
      <c r="AQ6" s="1055"/>
      <c r="AR6" s="1055"/>
      <c r="AS6" s="1055"/>
      <c r="AT6" s="1055"/>
      <c r="AU6" s="1055"/>
      <c r="AV6" s="1055"/>
      <c r="AW6" s="1055"/>
      <c r="AX6" s="1055"/>
      <c r="AY6" s="1055"/>
      <c r="AZ6" s="1055"/>
      <c r="BA6" s="1055"/>
      <c r="BB6" s="1055"/>
      <c r="BC6" s="425"/>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row>
    <row r="7" spans="1:120" ht="15" customHeight="1">
      <c r="A7" s="1343" t="s">
        <v>516</v>
      </c>
      <c r="B7" s="1343"/>
      <c r="C7" s="1343"/>
      <c r="D7" s="1343"/>
      <c r="E7" s="1343"/>
      <c r="F7" s="1343"/>
      <c r="G7" s="1343"/>
      <c r="H7" s="1343"/>
      <c r="I7" s="1343"/>
      <c r="J7" s="1344"/>
      <c r="K7" s="1572">
        <v>44197</v>
      </c>
      <c r="L7" s="1573"/>
      <c r="M7" s="1573"/>
      <c r="N7" s="1573"/>
      <c r="O7" s="1573"/>
      <c r="P7" s="1574"/>
      <c r="Q7" s="1372">
        <f>はじめに!C5</f>
        <v>0</v>
      </c>
      <c r="R7" s="1373"/>
      <c r="S7" s="1373"/>
      <c r="T7" s="1373"/>
      <c r="U7" s="1373"/>
      <c r="V7" s="1373"/>
      <c r="W7" s="1373"/>
      <c r="X7" s="1373"/>
      <c r="Y7" s="1373"/>
      <c r="Z7" s="1373"/>
      <c r="AA7" s="1373"/>
      <c r="AB7" s="1373"/>
      <c r="AC7" s="1373"/>
      <c r="AD7" s="1373"/>
      <c r="AE7" s="1373"/>
      <c r="AF7" s="1373"/>
      <c r="AG7" s="1374"/>
      <c r="AH7" s="1397" t="s">
        <v>124</v>
      </c>
      <c r="AI7" s="1046"/>
      <c r="AJ7" s="1046"/>
      <c r="AK7" s="1046"/>
      <c r="AL7" s="1046"/>
      <c r="AM7" s="1046"/>
      <c r="AN7" s="1046"/>
      <c r="AO7" s="1046"/>
      <c r="AP7" s="1046"/>
      <c r="AQ7" s="1047"/>
      <c r="AR7" s="1584" t="s">
        <v>518</v>
      </c>
      <c r="AS7" s="1585"/>
      <c r="AT7" s="1586"/>
      <c r="AU7" s="1578"/>
      <c r="AV7" s="1579"/>
      <c r="AW7" s="1579"/>
      <c r="AX7" s="1579"/>
      <c r="AY7" s="1579"/>
      <c r="AZ7" s="1579"/>
      <c r="BA7" s="1579"/>
      <c r="BB7" s="1580"/>
      <c r="BC7" s="426"/>
      <c r="BD7" s="140"/>
      <c r="BE7" s="140"/>
      <c r="BF7" s="140"/>
      <c r="BG7" s="140"/>
      <c r="BH7" s="140"/>
      <c r="BI7" s="140"/>
      <c r="BJ7" s="140"/>
      <c r="BK7" s="140"/>
      <c r="BN7" s="5"/>
      <c r="BO7"/>
      <c r="BP7"/>
      <c r="BQ7"/>
      <c r="BR7"/>
      <c r="BS7"/>
      <c r="BT7"/>
      <c r="BU7"/>
      <c r="BV7"/>
      <c r="BW7"/>
      <c r="DG7" s="1"/>
      <c r="DH7" s="1"/>
      <c r="DI7" s="1"/>
      <c r="DJ7" s="1"/>
      <c r="DK7" s="1"/>
      <c r="DL7" s="1"/>
      <c r="DM7" s="1"/>
      <c r="DN7" s="1"/>
      <c r="DO7" s="1"/>
      <c r="DP7" s="1"/>
    </row>
    <row r="8" spans="1:120" ht="15" customHeight="1">
      <c r="A8" s="427"/>
      <c r="B8" s="427"/>
      <c r="C8" s="427"/>
      <c r="D8" s="427"/>
      <c r="E8" s="428"/>
      <c r="F8" s="428"/>
      <c r="G8" s="428"/>
      <c r="H8" s="428"/>
      <c r="I8" s="427"/>
      <c r="J8" s="427"/>
      <c r="K8" s="1575" t="s">
        <v>1073</v>
      </c>
      <c r="L8" s="1576"/>
      <c r="M8" s="1576"/>
      <c r="N8" s="1576"/>
      <c r="O8" s="1576"/>
      <c r="P8" s="1577"/>
      <c r="Q8" s="1375"/>
      <c r="R8" s="1376"/>
      <c r="S8" s="1376"/>
      <c r="T8" s="1376"/>
      <c r="U8" s="1376"/>
      <c r="V8" s="1376"/>
      <c r="W8" s="1376"/>
      <c r="X8" s="1376"/>
      <c r="Y8" s="1376"/>
      <c r="Z8" s="1376"/>
      <c r="AA8" s="1376"/>
      <c r="AB8" s="1376"/>
      <c r="AC8" s="1376"/>
      <c r="AD8" s="1376"/>
      <c r="AE8" s="1376"/>
      <c r="AF8" s="1376"/>
      <c r="AG8" s="1377"/>
      <c r="AH8" s="1394">
        <f>はじめに!C11</f>
        <v>0</v>
      </c>
      <c r="AI8" s="1395"/>
      <c r="AJ8" s="1395"/>
      <c r="AK8" s="1395"/>
      <c r="AL8" s="1395"/>
      <c r="AM8" s="1395"/>
      <c r="AN8" s="1395"/>
      <c r="AO8" s="1395"/>
      <c r="AP8" s="1395"/>
      <c r="AQ8" s="1396"/>
      <c r="AR8" s="1587"/>
      <c r="AS8" s="1181"/>
      <c r="AT8" s="1588"/>
      <c r="AU8" s="1581"/>
      <c r="AV8" s="1582"/>
      <c r="AW8" s="1582"/>
      <c r="AX8" s="1582"/>
      <c r="AY8" s="1582"/>
      <c r="AZ8" s="1582"/>
      <c r="BA8" s="1582"/>
      <c r="BB8" s="1583"/>
      <c r="BC8" s="426"/>
      <c r="BD8" s="140"/>
      <c r="BE8" s="140"/>
      <c r="BF8" s="140"/>
      <c r="BG8" s="140"/>
      <c r="BH8" s="140"/>
      <c r="BI8" s="140"/>
      <c r="BJ8" s="140"/>
      <c r="BK8" s="140"/>
      <c r="BN8" s="5"/>
      <c r="BO8"/>
      <c r="BP8"/>
      <c r="BQ8"/>
      <c r="BR8"/>
      <c r="BS8"/>
      <c r="BT8"/>
      <c r="BU8"/>
      <c r="BV8"/>
      <c r="BW8"/>
      <c r="DG8" s="1"/>
      <c r="DH8" s="1"/>
      <c r="DI8" s="1"/>
      <c r="DJ8" s="1"/>
      <c r="DK8" s="1"/>
      <c r="DL8" s="1"/>
      <c r="DM8" s="1"/>
      <c r="DN8" s="1"/>
      <c r="DO8" s="1"/>
      <c r="DP8" s="1"/>
    </row>
    <row r="9" spans="1:120" ht="15" customHeight="1">
      <c r="A9" s="1345" t="s">
        <v>128</v>
      </c>
      <c r="B9" s="1345"/>
      <c r="C9" s="1345"/>
      <c r="D9" s="1345"/>
      <c r="E9" s="1345"/>
      <c r="F9" s="1345"/>
      <c r="G9" s="1345"/>
      <c r="H9" s="1345"/>
      <c r="I9" s="1345"/>
      <c r="J9" s="1346"/>
      <c r="K9" s="1413" t="s">
        <v>127</v>
      </c>
      <c r="L9" s="1414"/>
      <c r="M9" s="1414"/>
      <c r="N9" s="1414"/>
      <c r="O9" s="1414"/>
      <c r="P9" s="1415"/>
      <c r="Q9" s="1384" t="s">
        <v>123</v>
      </c>
      <c r="R9" s="1385"/>
      <c r="S9" s="1385"/>
      <c r="T9" s="1385"/>
      <c r="U9" s="1385"/>
      <c r="V9" s="1385"/>
      <c r="W9" s="1385"/>
      <c r="X9" s="1385"/>
      <c r="Y9" s="1385"/>
      <c r="Z9" s="1385"/>
      <c r="AA9" s="1385"/>
      <c r="AB9" s="1385"/>
      <c r="AC9" s="1385"/>
      <c r="AD9" s="1385"/>
      <c r="AE9" s="1385"/>
      <c r="AF9" s="1385"/>
      <c r="AG9" s="1386"/>
      <c r="AH9" s="1430" t="s">
        <v>468</v>
      </c>
      <c r="AI9" s="1431"/>
      <c r="AJ9" s="1437" t="s">
        <v>138</v>
      </c>
      <c r="AK9" s="1438"/>
      <c r="AL9" s="1438"/>
      <c r="AM9" s="1438"/>
      <c r="AN9" s="1438" t="s">
        <v>139</v>
      </c>
      <c r="AO9" s="1438"/>
      <c r="AP9" s="1438" t="s">
        <v>140</v>
      </c>
      <c r="AQ9" s="1438"/>
      <c r="AR9" s="1429" t="s">
        <v>517</v>
      </c>
      <c r="AS9" s="1429"/>
      <c r="AT9" s="1429"/>
      <c r="AU9" s="1429"/>
      <c r="AV9" s="1429"/>
      <c r="AW9" s="1429"/>
      <c r="AX9" s="1429"/>
      <c r="AY9" s="1429"/>
      <c r="AZ9" s="1429"/>
      <c r="BA9" s="1429"/>
      <c r="BB9" s="1429"/>
      <c r="BC9" s="426"/>
      <c r="BD9" s="140"/>
      <c r="BE9" s="140"/>
      <c r="BF9" s="140"/>
      <c r="BG9" s="140"/>
      <c r="BH9" s="140"/>
      <c r="BI9" s="140"/>
      <c r="BJ9" s="140"/>
      <c r="BK9" s="140"/>
      <c r="BN9" s="5"/>
      <c r="BO9"/>
      <c r="BP9"/>
      <c r="BQ9"/>
      <c r="BR9"/>
      <c r="BS9"/>
      <c r="BT9"/>
      <c r="BU9"/>
      <c r="BV9"/>
      <c r="BW9"/>
      <c r="DG9" s="1"/>
      <c r="DH9" s="1"/>
      <c r="DI9" s="1"/>
      <c r="DJ9" s="1"/>
      <c r="DK9" s="1"/>
      <c r="DL9" s="1"/>
      <c r="DM9" s="1"/>
      <c r="DN9" s="1"/>
      <c r="DO9" s="1"/>
      <c r="DP9" s="1"/>
    </row>
    <row r="10" spans="1:120" ht="15" customHeight="1">
      <c r="A10" s="427"/>
      <c r="B10" s="429"/>
      <c r="C10" s="429"/>
      <c r="D10" s="429"/>
      <c r="E10" s="429"/>
      <c r="F10" s="429"/>
      <c r="G10" s="429"/>
      <c r="H10" s="429"/>
      <c r="I10" s="429"/>
      <c r="J10" s="430"/>
      <c r="K10" s="1416"/>
      <c r="L10" s="1417"/>
      <c r="M10" s="1417"/>
      <c r="N10" s="1417"/>
      <c r="O10" s="1417"/>
      <c r="P10" s="1418"/>
      <c r="Q10" s="1375">
        <f>はじめに!C8</f>
        <v>0</v>
      </c>
      <c r="R10" s="1376"/>
      <c r="S10" s="1376"/>
      <c r="T10" s="1376"/>
      <c r="U10" s="1376"/>
      <c r="V10" s="1376"/>
      <c r="W10" s="1376"/>
      <c r="X10" s="1376"/>
      <c r="Y10" s="1376"/>
      <c r="Z10" s="1376"/>
      <c r="AA10" s="1376"/>
      <c r="AB10" s="1376"/>
      <c r="AC10" s="1376"/>
      <c r="AD10" s="1376"/>
      <c r="AE10" s="1376"/>
      <c r="AF10" s="1376"/>
      <c r="AG10" s="1377"/>
      <c r="AH10" s="1432"/>
      <c r="AI10" s="1433"/>
      <c r="AJ10" s="1434" t="str">
        <f>計算用資料!D142</f>
        <v/>
      </c>
      <c r="AK10" s="1435"/>
      <c r="AL10" s="1436">
        <f>はじめに!D15</f>
        <v>0</v>
      </c>
      <c r="AM10" s="1436"/>
      <c r="AN10" s="1436">
        <f>はじめに!E15</f>
        <v>0</v>
      </c>
      <c r="AO10" s="1436"/>
      <c r="AP10" s="1436">
        <f>はじめに!F15</f>
        <v>0</v>
      </c>
      <c r="AQ10" s="1436"/>
      <c r="AR10" s="1429"/>
      <c r="AS10" s="1429"/>
      <c r="AT10" s="1429"/>
      <c r="AU10" s="1429"/>
      <c r="AV10" s="1429"/>
      <c r="AW10" s="1429"/>
      <c r="AX10" s="1429"/>
      <c r="AY10" s="1429"/>
      <c r="AZ10" s="1429"/>
      <c r="BA10" s="1429"/>
      <c r="BB10" s="1429"/>
      <c r="BC10" s="426"/>
      <c r="BD10" s="140"/>
      <c r="BE10" s="140"/>
      <c r="BF10" s="140"/>
      <c r="BG10" s="140"/>
      <c r="BH10" s="140"/>
      <c r="BI10" s="140"/>
      <c r="BJ10" s="140"/>
      <c r="BK10" s="140"/>
      <c r="BN10" s="5"/>
      <c r="BO10"/>
      <c r="BP10"/>
      <c r="BQ10"/>
      <c r="BR10"/>
      <c r="BS10"/>
      <c r="BT10"/>
      <c r="BU10"/>
      <c r="BV10"/>
      <c r="BW10"/>
      <c r="DG10" s="1"/>
      <c r="DH10" s="1"/>
      <c r="DI10" s="1"/>
      <c r="DJ10" s="1"/>
      <c r="DK10" s="1"/>
      <c r="DL10" s="1"/>
      <c r="DM10" s="1"/>
      <c r="DN10" s="1"/>
      <c r="DO10" s="1"/>
      <c r="DP10" s="1"/>
    </row>
    <row r="11" spans="1:120" ht="15" customHeight="1">
      <c r="A11" s="427"/>
      <c r="B11" s="427"/>
      <c r="C11" s="427"/>
      <c r="D11" s="427"/>
      <c r="E11" s="427"/>
      <c r="F11" s="427"/>
      <c r="G11" s="300"/>
      <c r="H11" s="300"/>
      <c r="I11" s="427"/>
      <c r="J11" s="427"/>
      <c r="K11" s="1410" t="s">
        <v>21</v>
      </c>
      <c r="L11" s="1411"/>
      <c r="M11" s="1411"/>
      <c r="N11" s="1411"/>
      <c r="O11" s="1411"/>
      <c r="P11" s="1412"/>
      <c r="Q11" s="1387"/>
      <c r="R11" s="1388"/>
      <c r="S11" s="1388"/>
      <c r="T11" s="1388"/>
      <c r="U11" s="1388"/>
      <c r="V11" s="1388"/>
      <c r="W11" s="1388"/>
      <c r="X11" s="1388"/>
      <c r="Y11" s="1388"/>
      <c r="Z11" s="1388"/>
      <c r="AA11" s="1388"/>
      <c r="AB11" s="1388"/>
      <c r="AC11" s="1388"/>
      <c r="AD11" s="1388"/>
      <c r="AE11" s="1388"/>
      <c r="AF11" s="1388"/>
      <c r="AG11" s="1389"/>
      <c r="AH11" s="1397" t="s">
        <v>24</v>
      </c>
      <c r="AI11" s="1046"/>
      <c r="AJ11" s="1046"/>
      <c r="AK11" s="1046"/>
      <c r="AL11" s="1046"/>
      <c r="AM11" s="1046"/>
      <c r="AN11" s="1046"/>
      <c r="AO11" s="1046"/>
      <c r="AP11" s="1046"/>
      <c r="AQ11" s="1047"/>
      <c r="AR11" s="1393" t="s">
        <v>197</v>
      </c>
      <c r="AS11" s="1393"/>
      <c r="AT11" s="1393"/>
      <c r="AU11" s="1393"/>
      <c r="AV11" s="1393"/>
      <c r="AW11" s="1393"/>
      <c r="AX11" s="1393"/>
      <c r="AY11" s="1393"/>
      <c r="AZ11" s="1393"/>
      <c r="BA11" s="1393"/>
      <c r="BB11" s="1393"/>
      <c r="BC11" s="431"/>
      <c r="BD11" s="119"/>
      <c r="BE11" s="119"/>
      <c r="BF11" s="119"/>
      <c r="BG11" s="119"/>
      <c r="BH11" s="119"/>
      <c r="BI11" s="119"/>
      <c r="BJ11" s="119"/>
      <c r="BK11" s="119"/>
      <c r="BN11" s="5"/>
      <c r="BO11"/>
      <c r="BP11"/>
      <c r="BQ11"/>
      <c r="BR11"/>
      <c r="BS11"/>
      <c r="BT11"/>
      <c r="BU11"/>
      <c r="BV11"/>
      <c r="BW11"/>
      <c r="DG11" s="1"/>
      <c r="DH11" s="1"/>
      <c r="DI11" s="1"/>
      <c r="DJ11" s="1"/>
      <c r="DK11" s="1"/>
      <c r="DL11" s="1"/>
      <c r="DM11" s="1"/>
      <c r="DN11" s="1"/>
      <c r="DO11" s="1"/>
      <c r="DP11" s="1"/>
    </row>
    <row r="12" spans="1:120" ht="29.25" customHeight="1">
      <c r="A12" s="1347" t="s">
        <v>20</v>
      </c>
      <c r="B12" s="1347"/>
      <c r="C12" s="1347"/>
      <c r="D12" s="1347"/>
      <c r="E12" s="1347"/>
      <c r="F12" s="1347"/>
      <c r="G12" s="1347"/>
      <c r="H12" s="1347"/>
      <c r="I12" s="1347"/>
      <c r="J12" s="1348"/>
      <c r="K12" s="1410" t="s">
        <v>22</v>
      </c>
      <c r="L12" s="1411"/>
      <c r="M12" s="1411"/>
      <c r="N12" s="1411"/>
      <c r="O12" s="1411"/>
      <c r="P12" s="1412"/>
      <c r="Q12" s="1390"/>
      <c r="R12" s="1391"/>
      <c r="S12" s="1391"/>
      <c r="T12" s="1391"/>
      <c r="U12" s="1391"/>
      <c r="V12" s="1391"/>
      <c r="W12" s="1391"/>
      <c r="X12" s="1391"/>
      <c r="Y12" s="1391"/>
      <c r="Z12" s="1391"/>
      <c r="AA12" s="1391"/>
      <c r="AB12" s="1391"/>
      <c r="AC12" s="1391"/>
      <c r="AD12" s="1391"/>
      <c r="AE12" s="1391"/>
      <c r="AF12" s="1391"/>
      <c r="AG12" s="1392"/>
      <c r="AH12" s="1394">
        <f>はじめに!C18</f>
        <v>0</v>
      </c>
      <c r="AI12" s="1395"/>
      <c r="AJ12" s="1395"/>
      <c r="AK12" s="1395"/>
      <c r="AL12" s="1395"/>
      <c r="AM12" s="1395"/>
      <c r="AN12" s="1395"/>
      <c r="AO12" s="1395"/>
      <c r="AP12" s="1395"/>
      <c r="AQ12" s="1396"/>
      <c r="AR12" s="1398">
        <f>はじめに!C21</f>
        <v>0</v>
      </c>
      <c r="AS12" s="1398"/>
      <c r="AT12" s="1398"/>
      <c r="AU12" s="1398"/>
      <c r="AV12" s="1398"/>
      <c r="AW12" s="1398"/>
      <c r="AX12" s="1398"/>
      <c r="AY12" s="1398"/>
      <c r="AZ12" s="1398"/>
      <c r="BA12" s="1398"/>
      <c r="BB12" s="1398"/>
      <c r="BC12" s="432"/>
      <c r="BD12" s="141"/>
      <c r="BE12" s="141"/>
      <c r="BF12" s="141"/>
      <c r="BG12" s="141"/>
      <c r="BH12" s="141"/>
      <c r="BI12" s="141"/>
      <c r="BJ12" s="141"/>
      <c r="BK12" s="141"/>
      <c r="BL12" s="142"/>
      <c r="BM12" s="142"/>
      <c r="BN12" s="143"/>
      <c r="BO12" s="144"/>
      <c r="BP12" s="144"/>
      <c r="BQ12" s="144"/>
      <c r="BR12" s="144"/>
      <c r="BS12" s="144"/>
      <c r="BT12" s="144"/>
      <c r="BU12" s="144"/>
      <c r="BV12" s="144"/>
      <c r="BW12" s="144"/>
      <c r="BX12" s="142"/>
      <c r="BY12" s="142"/>
      <c r="BZ12" s="142"/>
      <c r="CA12" s="142"/>
      <c r="DG12" s="1"/>
      <c r="DH12" s="1"/>
      <c r="DI12" s="1"/>
      <c r="DJ12" s="1"/>
      <c r="DK12" s="1"/>
      <c r="DL12" s="1"/>
      <c r="DM12" s="1"/>
      <c r="DN12" s="1"/>
      <c r="DO12" s="1"/>
      <c r="DP12" s="1"/>
    </row>
    <row r="13" spans="1:120" ht="15" customHeight="1">
      <c r="A13" s="317"/>
      <c r="B13" s="317"/>
      <c r="C13" s="433"/>
      <c r="D13" s="433"/>
      <c r="E13" s="433"/>
      <c r="F13" s="433"/>
      <c r="G13" s="433"/>
      <c r="H13" s="433"/>
      <c r="I13" s="433"/>
      <c r="J13" s="433"/>
      <c r="K13" s="1639" t="s">
        <v>1077</v>
      </c>
      <c r="L13" s="1639"/>
      <c r="M13" s="1639"/>
      <c r="N13" s="1639"/>
      <c r="O13" s="1639"/>
      <c r="P13" s="1639"/>
      <c r="Q13" s="1595"/>
      <c r="R13" s="1596"/>
      <c r="S13" s="1596"/>
      <c r="T13" s="1596"/>
      <c r="U13" s="1596"/>
      <c r="V13" s="1596"/>
      <c r="W13" s="1596"/>
      <c r="X13" s="1596"/>
      <c r="Y13" s="1596"/>
      <c r="Z13" s="1596"/>
      <c r="AA13" s="1596"/>
      <c r="AB13" s="1596"/>
      <c r="AC13" s="1596"/>
      <c r="AD13" s="1596"/>
      <c r="AE13" s="1596"/>
      <c r="AF13" s="1596"/>
      <c r="AG13" s="1597"/>
      <c r="AH13" s="1640" t="s">
        <v>1078</v>
      </c>
      <c r="AI13" s="1640"/>
      <c r="AJ13" s="1641"/>
      <c r="AK13" s="1592" t="s">
        <v>1081</v>
      </c>
      <c r="AL13" s="1593"/>
      <c r="AM13" s="1593"/>
      <c r="AN13" s="1593"/>
      <c r="AO13" s="1593"/>
      <c r="AP13" s="1593"/>
      <c r="AQ13" s="1593"/>
      <c r="AR13" s="1593"/>
      <c r="AS13" s="1593"/>
      <c r="AT13" s="1593"/>
      <c r="AU13" s="1594"/>
      <c r="AV13" s="1642" t="s">
        <v>1079</v>
      </c>
      <c r="AW13" s="1641"/>
      <c r="AX13" s="1589" t="s">
        <v>1081</v>
      </c>
      <c r="AY13" s="1590"/>
      <c r="AZ13" s="1590"/>
      <c r="BA13" s="1590"/>
      <c r="BB13" s="1590"/>
      <c r="BC13" s="434"/>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U13" s="5"/>
      <c r="CV13"/>
      <c r="CW13"/>
      <c r="CX13"/>
      <c r="CY13"/>
      <c r="CZ13"/>
      <c r="DA13"/>
      <c r="DB13"/>
      <c r="DC13"/>
      <c r="DD13"/>
      <c r="DG13" s="1"/>
      <c r="DH13" s="1"/>
      <c r="DI13" s="1"/>
      <c r="DJ13" s="1"/>
      <c r="DK13" s="1"/>
      <c r="DL13" s="1"/>
      <c r="DM13" s="1"/>
      <c r="DN13" s="1"/>
      <c r="DO13" s="1"/>
      <c r="DP13" s="1"/>
    </row>
    <row r="14" spans="1:120" ht="6.95" customHeight="1">
      <c r="A14" s="317"/>
      <c r="B14" s="317"/>
      <c r="C14" s="433"/>
      <c r="D14" s="433"/>
      <c r="E14" s="433"/>
      <c r="F14" s="433"/>
      <c r="G14" s="433"/>
      <c r="H14" s="433"/>
      <c r="I14" s="433"/>
      <c r="J14" s="433"/>
      <c r="K14" s="1639"/>
      <c r="L14" s="1639"/>
      <c r="M14" s="1639"/>
      <c r="N14" s="1639"/>
      <c r="O14" s="1639"/>
      <c r="P14" s="1639"/>
      <c r="Q14" s="1598"/>
      <c r="R14" s="1599"/>
      <c r="S14" s="1599"/>
      <c r="T14" s="1599"/>
      <c r="U14" s="1599"/>
      <c r="V14" s="1599"/>
      <c r="W14" s="1599"/>
      <c r="X14" s="1599"/>
      <c r="Y14" s="1599"/>
      <c r="Z14" s="1599"/>
      <c r="AA14" s="1599"/>
      <c r="AB14" s="1599"/>
      <c r="AC14" s="1599"/>
      <c r="AD14" s="1599"/>
      <c r="AE14" s="1599"/>
      <c r="AF14" s="1599"/>
      <c r="AG14" s="1600"/>
      <c r="AH14" s="1640"/>
      <c r="AI14" s="1640"/>
      <c r="AJ14" s="1641"/>
      <c r="AK14" s="1592"/>
      <c r="AL14" s="1593"/>
      <c r="AM14" s="1593"/>
      <c r="AN14" s="1593"/>
      <c r="AO14" s="1593"/>
      <c r="AP14" s="1593"/>
      <c r="AQ14" s="1593"/>
      <c r="AR14" s="1593"/>
      <c r="AS14" s="1593"/>
      <c r="AT14" s="1593"/>
      <c r="AU14" s="1594"/>
      <c r="AV14" s="1642"/>
      <c r="AW14" s="1641"/>
      <c r="AX14" s="1591"/>
      <c r="AY14" s="1590"/>
      <c r="AZ14" s="1590"/>
      <c r="BA14" s="1590"/>
      <c r="BB14" s="1590"/>
      <c r="BC14" s="435"/>
      <c r="BD14" s="133"/>
      <c r="BE14" s="133"/>
      <c r="BF14" s="133"/>
      <c r="BG14" s="133"/>
      <c r="BH14" s="133"/>
      <c r="BI14" s="13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E14" s="5"/>
      <c r="DF14" s="109"/>
      <c r="DG14" s="109"/>
      <c r="DH14" s="109"/>
      <c r="DI14" s="109"/>
      <c r="DJ14" s="109"/>
      <c r="DK14" s="109"/>
      <c r="DL14" s="109"/>
      <c r="DM14" s="109"/>
      <c r="DN14" s="109"/>
      <c r="DO14" s="1"/>
      <c r="DP14" s="1"/>
    </row>
    <row r="15" spans="1:120" ht="14.45" customHeight="1">
      <c r="A15" s="1349" t="s">
        <v>70</v>
      </c>
      <c r="B15" s="1349"/>
      <c r="C15" s="1001" t="s">
        <v>126</v>
      </c>
      <c r="D15" s="1001"/>
      <c r="E15" s="1001"/>
      <c r="F15" s="1001"/>
      <c r="G15" s="1001"/>
      <c r="H15" s="1001"/>
      <c r="I15" s="1001"/>
      <c r="J15" s="1001"/>
      <c r="K15" s="1001"/>
      <c r="L15" s="1001"/>
      <c r="M15" s="1001"/>
      <c r="N15" s="1001"/>
      <c r="O15" s="1001"/>
      <c r="P15" s="1001"/>
      <c r="Q15" s="1001"/>
      <c r="R15" s="1001"/>
      <c r="S15" s="1001"/>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436"/>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2"/>
      <c r="CH15" s="5"/>
      <c r="CI15"/>
      <c r="CJ15"/>
      <c r="CK15"/>
      <c r="CL15"/>
      <c r="CM15"/>
      <c r="CN15"/>
      <c r="CO15"/>
      <c r="CP15"/>
      <c r="CQ15"/>
      <c r="DG15" s="1"/>
      <c r="DH15" s="1"/>
      <c r="DI15" s="1"/>
      <c r="DJ15" s="1"/>
      <c r="DK15" s="1"/>
      <c r="DL15" s="1"/>
      <c r="DM15" s="1"/>
      <c r="DN15" s="1"/>
      <c r="DO15" s="1"/>
      <c r="DP15" s="1"/>
    </row>
    <row r="16" spans="1:120" ht="14.45" customHeight="1">
      <c r="A16" s="1349"/>
      <c r="B16" s="1349"/>
      <c r="C16" s="1056" t="s">
        <v>922</v>
      </c>
      <c r="D16" s="1057"/>
      <c r="E16" s="1057"/>
      <c r="F16" s="1113"/>
      <c r="G16" s="1404" t="s">
        <v>125</v>
      </c>
      <c r="H16" s="1405"/>
      <c r="I16" s="1405"/>
      <c r="J16" s="1405"/>
      <c r="K16" s="1405"/>
      <c r="L16" s="1405"/>
      <c r="M16" s="1405"/>
      <c r="N16" s="1405"/>
      <c r="O16" s="1405"/>
      <c r="P16" s="1405"/>
      <c r="Q16" s="1405"/>
      <c r="R16" s="1405"/>
      <c r="S16" s="1406"/>
      <c r="T16" s="1404" t="s">
        <v>11</v>
      </c>
      <c r="U16" s="1405"/>
      <c r="V16" s="1405"/>
      <c r="W16" s="1405"/>
      <c r="X16" s="1405"/>
      <c r="Y16" s="1405"/>
      <c r="Z16" s="1405"/>
      <c r="AA16" s="1405"/>
      <c r="AB16" s="1405"/>
      <c r="AC16" s="1405"/>
      <c r="AD16" s="1405"/>
      <c r="AE16" s="1405"/>
      <c r="AF16" s="1405"/>
      <c r="AG16" s="1406"/>
      <c r="AH16" s="433"/>
      <c r="AI16" s="1399">
        <v>1</v>
      </c>
      <c r="AJ16" s="1399"/>
      <c r="AK16" s="1444" t="s">
        <v>520</v>
      </c>
      <c r="AL16" s="1445"/>
      <c r="AM16" s="1445" t="s">
        <v>26</v>
      </c>
      <c r="AN16" s="1445"/>
      <c r="AO16" s="1445"/>
      <c r="AP16" s="1445"/>
      <c r="AQ16" s="1445"/>
      <c r="AR16" s="1446"/>
      <c r="AS16" s="1381" t="s">
        <v>27</v>
      </c>
      <c r="AT16" s="1382"/>
      <c r="AU16" s="1383"/>
      <c r="AV16" s="1401">
        <f>営業等!D3</f>
        <v>0</v>
      </c>
      <c r="AW16" s="1402"/>
      <c r="AX16" s="1402"/>
      <c r="AY16" s="1402"/>
      <c r="AZ16" s="1402"/>
      <c r="BA16" s="1402"/>
      <c r="BB16" s="437" t="s">
        <v>67</v>
      </c>
      <c r="BC16" s="438"/>
      <c r="BF16" s="5"/>
      <c r="BG16"/>
      <c r="BH16"/>
      <c r="BI16"/>
      <c r="BJ16"/>
      <c r="BK16"/>
      <c r="BL16"/>
      <c r="BM16"/>
      <c r="BN16"/>
      <c r="BO16"/>
      <c r="DG16" s="1"/>
      <c r="DH16" s="1"/>
      <c r="DI16" s="1"/>
      <c r="DJ16" s="1"/>
      <c r="DK16" s="1"/>
      <c r="DL16" s="1"/>
      <c r="DM16" s="1"/>
      <c r="DN16" s="1"/>
      <c r="DO16" s="1"/>
      <c r="DP16" s="1"/>
    </row>
    <row r="17" spans="1:120" ht="14.45" customHeight="1">
      <c r="A17" s="1349"/>
      <c r="B17" s="1349"/>
      <c r="C17" s="1059"/>
      <c r="D17" s="1060"/>
      <c r="E17" s="1060"/>
      <c r="F17" s="1368"/>
      <c r="G17" s="1407" t="s">
        <v>519</v>
      </c>
      <c r="H17" s="1408"/>
      <c r="I17" s="1408"/>
      <c r="J17" s="1408"/>
      <c r="K17" s="1408"/>
      <c r="L17" s="1408"/>
      <c r="M17" s="1408"/>
      <c r="N17" s="1408"/>
      <c r="O17" s="1408"/>
      <c r="P17" s="1408"/>
      <c r="Q17" s="1408"/>
      <c r="R17" s="1408"/>
      <c r="S17" s="1409"/>
      <c r="T17" s="1498">
        <f>計算用資料!C146</f>
        <v>0</v>
      </c>
      <c r="U17" s="1499"/>
      <c r="V17" s="1499"/>
      <c r="W17" s="1499"/>
      <c r="X17" s="1499"/>
      <c r="Y17" s="1499"/>
      <c r="Z17" s="1499"/>
      <c r="AA17" s="1499"/>
      <c r="AB17" s="1499"/>
      <c r="AC17" s="1499"/>
      <c r="AD17" s="1499"/>
      <c r="AE17" s="1499"/>
      <c r="AF17" s="1499"/>
      <c r="AG17" s="439" t="s">
        <v>530</v>
      </c>
      <c r="AH17" s="433"/>
      <c r="AI17" s="1400"/>
      <c r="AJ17" s="1400"/>
      <c r="AK17" s="1309"/>
      <c r="AL17" s="1310"/>
      <c r="AM17" s="1310" t="s">
        <v>28</v>
      </c>
      <c r="AN17" s="1310"/>
      <c r="AO17" s="1310"/>
      <c r="AP17" s="1310"/>
      <c r="AQ17" s="1310"/>
      <c r="AR17" s="1311"/>
      <c r="AS17" s="1441" t="s">
        <v>29</v>
      </c>
      <c r="AT17" s="1442"/>
      <c r="AU17" s="1443"/>
      <c r="AV17" s="1403">
        <f>営業等!D7</f>
        <v>0</v>
      </c>
      <c r="AW17" s="1257"/>
      <c r="AX17" s="1257"/>
      <c r="AY17" s="1257"/>
      <c r="AZ17" s="1257"/>
      <c r="BA17" s="1257"/>
      <c r="BB17" s="440"/>
      <c r="BC17" s="317"/>
      <c r="BF17" s="5"/>
      <c r="BG17"/>
      <c r="BH17"/>
      <c r="BI17"/>
      <c r="BJ17"/>
      <c r="BK17"/>
      <c r="BL17"/>
      <c r="BM17"/>
      <c r="BN17"/>
      <c r="BO17"/>
      <c r="DG17" s="1"/>
      <c r="DH17" s="1"/>
      <c r="DI17" s="1"/>
      <c r="DJ17" s="1"/>
      <c r="DK17" s="1"/>
      <c r="DL17" s="1"/>
      <c r="DM17" s="1"/>
      <c r="DN17" s="1"/>
      <c r="DO17" s="1"/>
      <c r="DP17" s="1"/>
    </row>
    <row r="18" spans="1:120" ht="14.45" customHeight="1">
      <c r="A18" s="1349"/>
      <c r="B18" s="1349"/>
      <c r="C18" s="1059"/>
      <c r="D18" s="1060"/>
      <c r="E18" s="1060"/>
      <c r="F18" s="1368"/>
      <c r="G18" s="1457" t="str">
        <f>社会保険・生命・地震保険!G5</f>
        <v>　</v>
      </c>
      <c r="H18" s="1455"/>
      <c r="I18" s="1455"/>
      <c r="J18" s="1455"/>
      <c r="K18" s="1455"/>
      <c r="L18" s="1455"/>
      <c r="M18" s="1455"/>
      <c r="N18" s="1455" t="str">
        <f>社会保険・生命・地震保険!G6</f>
        <v>　</v>
      </c>
      <c r="O18" s="1455"/>
      <c r="P18" s="1455"/>
      <c r="Q18" s="1455"/>
      <c r="R18" s="1455"/>
      <c r="S18" s="1456"/>
      <c r="T18" s="1496">
        <f>計算用資料!D146</f>
        <v>0</v>
      </c>
      <c r="U18" s="1497"/>
      <c r="V18" s="1497"/>
      <c r="W18" s="1497"/>
      <c r="X18" s="1497"/>
      <c r="Y18" s="1497"/>
      <c r="Z18" s="1497"/>
      <c r="AA18" s="1497"/>
      <c r="AB18" s="1497"/>
      <c r="AC18" s="1497"/>
      <c r="AD18" s="1497"/>
      <c r="AE18" s="1497"/>
      <c r="AF18" s="1497"/>
      <c r="AG18" s="441"/>
      <c r="AH18" s="433"/>
      <c r="AI18" s="1439" t="s">
        <v>525</v>
      </c>
      <c r="AJ18" s="1439"/>
      <c r="AK18" s="1309" t="s">
        <v>30</v>
      </c>
      <c r="AL18" s="1310"/>
      <c r="AM18" s="1310"/>
      <c r="AN18" s="1310"/>
      <c r="AO18" s="1310"/>
      <c r="AP18" s="1310"/>
      <c r="AQ18" s="1310"/>
      <c r="AR18" s="1311"/>
      <c r="AS18" s="1441" t="s">
        <v>31</v>
      </c>
      <c r="AT18" s="1442"/>
      <c r="AU18" s="1443"/>
      <c r="AV18" s="1403">
        <f>営業等!D11</f>
        <v>0</v>
      </c>
      <c r="AW18" s="1257"/>
      <c r="AX18" s="1257"/>
      <c r="AY18" s="1257"/>
      <c r="AZ18" s="1257"/>
      <c r="BA18" s="1257"/>
      <c r="BB18" s="440"/>
      <c r="BC18" s="317"/>
      <c r="BF18" s="5"/>
      <c r="BG18"/>
      <c r="BH18"/>
      <c r="BI18"/>
      <c r="BJ18"/>
      <c r="BK18"/>
      <c r="BL18"/>
      <c r="BM18"/>
      <c r="BN18"/>
      <c r="BO18"/>
      <c r="DG18" s="1"/>
      <c r="DH18" s="1"/>
      <c r="DI18" s="1"/>
      <c r="DJ18" s="1"/>
      <c r="DK18" s="1"/>
      <c r="DL18" s="1"/>
      <c r="DM18" s="1"/>
      <c r="DN18" s="1"/>
      <c r="DO18" s="1"/>
      <c r="DP18" s="1"/>
    </row>
    <row r="19" spans="1:120" ht="14.45" customHeight="1">
      <c r="A19" s="1349"/>
      <c r="B19" s="1349"/>
      <c r="C19" s="1059"/>
      <c r="D19" s="1060"/>
      <c r="E19" s="1060"/>
      <c r="F19" s="1368"/>
      <c r="G19" s="1419" t="str">
        <f>計算用資料!E146</f>
        <v/>
      </c>
      <c r="H19" s="1024"/>
      <c r="I19" s="1024"/>
      <c r="J19" s="1024"/>
      <c r="K19" s="1024"/>
      <c r="L19" s="1024"/>
      <c r="M19" s="1024"/>
      <c r="N19" s="1024"/>
      <c r="O19" s="1024"/>
      <c r="P19" s="1024"/>
      <c r="Q19" s="1024"/>
      <c r="R19" s="1024"/>
      <c r="S19" s="1025"/>
      <c r="T19" s="1494">
        <f>社会保険・生命・地震保険!I7</f>
        <v>0</v>
      </c>
      <c r="U19" s="1495"/>
      <c r="V19" s="1495"/>
      <c r="W19" s="1495"/>
      <c r="X19" s="1495"/>
      <c r="Y19" s="1495"/>
      <c r="Z19" s="1495"/>
      <c r="AA19" s="1495"/>
      <c r="AB19" s="1495"/>
      <c r="AC19" s="1495"/>
      <c r="AD19" s="1495"/>
      <c r="AE19" s="1495"/>
      <c r="AF19" s="1495"/>
      <c r="AG19" s="442"/>
      <c r="AH19" s="433"/>
      <c r="AI19" s="1439"/>
      <c r="AJ19" s="1439"/>
      <c r="AK19" s="1309" t="s">
        <v>32</v>
      </c>
      <c r="AL19" s="1310"/>
      <c r="AM19" s="1310"/>
      <c r="AN19" s="1310"/>
      <c r="AO19" s="1310"/>
      <c r="AP19" s="1310"/>
      <c r="AQ19" s="1310"/>
      <c r="AR19" s="1311"/>
      <c r="AS19" s="1441" t="s">
        <v>33</v>
      </c>
      <c r="AT19" s="1442"/>
      <c r="AU19" s="1443"/>
      <c r="AV19" s="1403">
        <f>営業等!P15</f>
        <v>0</v>
      </c>
      <c r="AW19" s="1257"/>
      <c r="AX19" s="1257"/>
      <c r="AY19" s="1257"/>
      <c r="AZ19" s="1257"/>
      <c r="BA19" s="1257"/>
      <c r="BB19" s="440"/>
      <c r="BC19" s="317"/>
      <c r="BF19" s="5"/>
      <c r="BG19"/>
      <c r="BH19"/>
      <c r="BI19"/>
      <c r="BJ19"/>
      <c r="BK19"/>
      <c r="BL19"/>
      <c r="BM19"/>
      <c r="BN19"/>
      <c r="BO19"/>
      <c r="DG19" s="1"/>
      <c r="DH19" s="1"/>
      <c r="DI19" s="1"/>
      <c r="DJ19" s="1"/>
      <c r="DK19" s="1"/>
      <c r="DL19" s="1"/>
      <c r="DM19" s="1"/>
      <c r="DN19" s="1"/>
      <c r="DO19" s="1"/>
      <c r="DP19" s="1"/>
    </row>
    <row r="20" spans="1:120" ht="14.45" customHeight="1">
      <c r="A20" s="1349"/>
      <c r="B20" s="1349"/>
      <c r="C20" s="1062"/>
      <c r="D20" s="1063"/>
      <c r="E20" s="1063"/>
      <c r="F20" s="1369"/>
      <c r="G20" s="1404" t="s">
        <v>12</v>
      </c>
      <c r="H20" s="1405"/>
      <c r="I20" s="1405"/>
      <c r="J20" s="1405"/>
      <c r="K20" s="1405"/>
      <c r="L20" s="1405"/>
      <c r="M20" s="1405"/>
      <c r="N20" s="1405"/>
      <c r="O20" s="1405"/>
      <c r="P20" s="1405"/>
      <c r="Q20" s="1405"/>
      <c r="R20" s="1405"/>
      <c r="S20" s="1406"/>
      <c r="T20" s="1492">
        <f>社会保険・生命・地震保険!I8</f>
        <v>0</v>
      </c>
      <c r="U20" s="1493"/>
      <c r="V20" s="1493"/>
      <c r="W20" s="1493"/>
      <c r="X20" s="1493"/>
      <c r="Y20" s="1493"/>
      <c r="Z20" s="1493"/>
      <c r="AA20" s="1493"/>
      <c r="AB20" s="1493"/>
      <c r="AC20" s="1493"/>
      <c r="AD20" s="1493"/>
      <c r="AE20" s="1493"/>
      <c r="AF20" s="1493"/>
      <c r="AG20" s="443"/>
      <c r="AH20" s="433"/>
      <c r="AI20" s="1439"/>
      <c r="AJ20" s="1439"/>
      <c r="AK20" s="1309" t="s">
        <v>701</v>
      </c>
      <c r="AL20" s="1310"/>
      <c r="AM20" s="1310"/>
      <c r="AN20" s="1310"/>
      <c r="AO20" s="1310"/>
      <c r="AP20" s="1310"/>
      <c r="AQ20" s="1310"/>
      <c r="AR20" s="1311"/>
      <c r="AS20" s="1441" t="s">
        <v>35</v>
      </c>
      <c r="AT20" s="1442"/>
      <c r="AU20" s="1443"/>
      <c r="AV20" s="1403">
        <f>営業等!P22</f>
        <v>0</v>
      </c>
      <c r="AW20" s="1257"/>
      <c r="AX20" s="1257"/>
      <c r="AY20" s="1257"/>
      <c r="AZ20" s="1257"/>
      <c r="BA20" s="1257"/>
      <c r="BB20" s="440"/>
      <c r="BC20" s="317"/>
      <c r="BF20" s="5"/>
      <c r="BG20"/>
      <c r="BH20"/>
      <c r="BI20"/>
      <c r="BJ20"/>
      <c r="BK20"/>
      <c r="BL20"/>
      <c r="BM20"/>
      <c r="BN20"/>
      <c r="BO20"/>
      <c r="DG20" s="1"/>
      <c r="DH20" s="1"/>
      <c r="DI20" s="1"/>
      <c r="DJ20" s="1"/>
      <c r="DK20" s="1"/>
      <c r="DL20" s="1"/>
      <c r="DM20" s="1"/>
      <c r="DN20" s="1"/>
      <c r="DO20" s="1"/>
      <c r="DP20" s="1"/>
    </row>
    <row r="21" spans="1:120" ht="14.45" customHeight="1">
      <c r="A21" s="1349"/>
      <c r="B21" s="1349"/>
      <c r="C21" s="1359" t="s">
        <v>899</v>
      </c>
      <c r="D21" s="1360"/>
      <c r="E21" s="1360"/>
      <c r="F21" s="1361"/>
      <c r="G21" s="1056" t="s">
        <v>531</v>
      </c>
      <c r="H21" s="1057"/>
      <c r="I21" s="1057"/>
      <c r="J21" s="1057"/>
      <c r="K21" s="1057"/>
      <c r="L21" s="1057"/>
      <c r="M21" s="1057"/>
      <c r="N21" s="1057"/>
      <c r="O21" s="1057"/>
      <c r="P21" s="1057"/>
      <c r="Q21" s="1057"/>
      <c r="R21" s="1057"/>
      <c r="S21" s="1113"/>
      <c r="T21" s="1500">
        <f>社会保険・生命・地震保険!I14</f>
        <v>0</v>
      </c>
      <c r="U21" s="1501"/>
      <c r="V21" s="1501"/>
      <c r="W21" s="1501"/>
      <c r="X21" s="1501"/>
      <c r="Y21" s="1501"/>
      <c r="Z21" s="1501"/>
      <c r="AA21" s="1501"/>
      <c r="AB21" s="1501"/>
      <c r="AC21" s="1501"/>
      <c r="AD21" s="1501"/>
      <c r="AE21" s="1501"/>
      <c r="AF21" s="1501"/>
      <c r="AG21" s="1473" t="s">
        <v>67</v>
      </c>
      <c r="AH21" s="433"/>
      <c r="AI21" s="1439"/>
      <c r="AJ21" s="1439"/>
      <c r="AK21" s="1309" t="s">
        <v>46</v>
      </c>
      <c r="AL21" s="1310"/>
      <c r="AM21" s="1310" t="s">
        <v>36</v>
      </c>
      <c r="AN21" s="1310"/>
      <c r="AO21" s="1310"/>
      <c r="AP21" s="1310"/>
      <c r="AQ21" s="1310"/>
      <c r="AR21" s="1311"/>
      <c r="AS21" s="1441" t="s">
        <v>37</v>
      </c>
      <c r="AT21" s="1442"/>
      <c r="AU21" s="1443"/>
      <c r="AV21" s="1403">
        <f>計算用資料!C158</f>
        <v>0</v>
      </c>
      <c r="AW21" s="1257"/>
      <c r="AX21" s="1257"/>
      <c r="AY21" s="1257"/>
      <c r="AZ21" s="1257"/>
      <c r="BA21" s="1257"/>
      <c r="BB21" s="440"/>
      <c r="BC21" s="317"/>
      <c r="BF21" s="5"/>
      <c r="BG21"/>
      <c r="BH21"/>
      <c r="BI21"/>
      <c r="BJ21"/>
      <c r="BK21"/>
      <c r="BL21"/>
      <c r="BM21"/>
      <c r="BN21"/>
      <c r="BO21"/>
      <c r="DG21" s="1"/>
      <c r="DH21" s="1"/>
      <c r="DI21" s="1"/>
      <c r="DJ21" s="1"/>
      <c r="DK21" s="1"/>
      <c r="DL21" s="1"/>
      <c r="DM21" s="1"/>
      <c r="DN21" s="1"/>
      <c r="DO21" s="1"/>
      <c r="DP21" s="1"/>
    </row>
    <row r="22" spans="1:120" ht="14.45" customHeight="1">
      <c r="A22" s="1349"/>
      <c r="B22" s="1349"/>
      <c r="C22" s="1365"/>
      <c r="D22" s="1366"/>
      <c r="E22" s="1366"/>
      <c r="F22" s="1367"/>
      <c r="G22" s="1062"/>
      <c r="H22" s="1063"/>
      <c r="I22" s="1063"/>
      <c r="J22" s="1063"/>
      <c r="K22" s="1063"/>
      <c r="L22" s="1063"/>
      <c r="M22" s="1063"/>
      <c r="N22" s="1063"/>
      <c r="O22" s="1063"/>
      <c r="P22" s="1063"/>
      <c r="Q22" s="1063"/>
      <c r="R22" s="1063"/>
      <c r="S22" s="1369"/>
      <c r="T22" s="1475"/>
      <c r="U22" s="1476"/>
      <c r="V22" s="1476"/>
      <c r="W22" s="1476"/>
      <c r="X22" s="1476"/>
      <c r="Y22" s="1476"/>
      <c r="Z22" s="1476"/>
      <c r="AA22" s="1476"/>
      <c r="AB22" s="1476"/>
      <c r="AC22" s="1476"/>
      <c r="AD22" s="1476"/>
      <c r="AE22" s="1476"/>
      <c r="AF22" s="1476"/>
      <c r="AG22" s="1474"/>
      <c r="AH22" s="433"/>
      <c r="AI22" s="1439"/>
      <c r="AJ22" s="1439"/>
      <c r="AK22" s="1309"/>
      <c r="AL22" s="1310"/>
      <c r="AM22" s="1310" t="s">
        <v>47</v>
      </c>
      <c r="AN22" s="1310"/>
      <c r="AO22" s="1310" t="s">
        <v>38</v>
      </c>
      <c r="AP22" s="1310"/>
      <c r="AQ22" s="1310"/>
      <c r="AR22" s="1311"/>
      <c r="AS22" s="1441"/>
      <c r="AT22" s="1442"/>
      <c r="AU22" s="1443"/>
      <c r="AV22" s="1403">
        <f>給与・年金!H12</f>
        <v>0</v>
      </c>
      <c r="AW22" s="1257"/>
      <c r="AX22" s="1257"/>
      <c r="AY22" s="1257"/>
      <c r="AZ22" s="1257"/>
      <c r="BA22" s="1257"/>
      <c r="BB22" s="440"/>
      <c r="BC22" s="317"/>
      <c r="BF22" s="5"/>
      <c r="BG22"/>
      <c r="BH22"/>
      <c r="BI22"/>
      <c r="BJ22"/>
      <c r="BK22"/>
      <c r="BL22"/>
      <c r="BM22"/>
      <c r="BN22"/>
      <c r="BO22"/>
      <c r="DG22" s="1"/>
      <c r="DH22" s="1"/>
      <c r="DI22" s="1"/>
      <c r="DJ22" s="1"/>
      <c r="DK22" s="1"/>
      <c r="DL22" s="1"/>
      <c r="DM22" s="1"/>
      <c r="DN22" s="1"/>
      <c r="DO22" s="1"/>
      <c r="DP22" s="1"/>
    </row>
    <row r="23" spans="1:120" ht="14.45" customHeight="1">
      <c r="A23" s="1349"/>
      <c r="B23" s="1349"/>
      <c r="C23" s="1056" t="s">
        <v>923</v>
      </c>
      <c r="D23" s="1057"/>
      <c r="E23" s="1057"/>
      <c r="F23" s="1113"/>
      <c r="G23" s="1420" t="s">
        <v>13</v>
      </c>
      <c r="H23" s="1421"/>
      <c r="I23" s="1421"/>
      <c r="J23" s="1421"/>
      <c r="K23" s="1421"/>
      <c r="L23" s="1421"/>
      <c r="M23" s="1421"/>
      <c r="N23" s="1421"/>
      <c r="O23" s="1421"/>
      <c r="P23" s="1421"/>
      <c r="Q23" s="1421"/>
      <c r="R23" s="1421"/>
      <c r="S23" s="1422"/>
      <c r="T23" s="1420" t="s">
        <v>14</v>
      </c>
      <c r="U23" s="1421"/>
      <c r="V23" s="1421"/>
      <c r="W23" s="1421"/>
      <c r="X23" s="1421"/>
      <c r="Y23" s="1421"/>
      <c r="Z23" s="1421"/>
      <c r="AA23" s="1421"/>
      <c r="AB23" s="1421"/>
      <c r="AC23" s="1421"/>
      <c r="AD23" s="1421"/>
      <c r="AE23" s="1421"/>
      <c r="AF23" s="1421"/>
      <c r="AG23" s="444"/>
      <c r="AH23" s="433"/>
      <c r="AI23" s="1439"/>
      <c r="AJ23" s="1439"/>
      <c r="AK23" s="1309"/>
      <c r="AL23" s="1310"/>
      <c r="AM23" s="1310"/>
      <c r="AN23" s="1310"/>
      <c r="AO23" s="1310" t="s">
        <v>39</v>
      </c>
      <c r="AP23" s="1310"/>
      <c r="AQ23" s="1310"/>
      <c r="AR23" s="1311"/>
      <c r="AS23" s="1441"/>
      <c r="AT23" s="1442"/>
      <c r="AU23" s="1443"/>
      <c r="AV23" s="1403">
        <f>給与・年金!H7</f>
        <v>0</v>
      </c>
      <c r="AW23" s="1257"/>
      <c r="AX23" s="1257"/>
      <c r="AY23" s="1257"/>
      <c r="AZ23" s="1257"/>
      <c r="BA23" s="1257"/>
      <c r="BB23" s="440"/>
      <c r="BC23" s="317"/>
      <c r="BF23" s="5"/>
      <c r="BG23"/>
      <c r="BH23"/>
      <c r="BI23"/>
      <c r="BJ23"/>
      <c r="BK23"/>
      <c r="BL23"/>
      <c r="BM23"/>
      <c r="BN23"/>
      <c r="BO23"/>
      <c r="DG23" s="1"/>
      <c r="DH23" s="1"/>
      <c r="DI23" s="1"/>
      <c r="DJ23" s="1"/>
      <c r="DK23" s="1"/>
      <c r="DL23" s="1"/>
      <c r="DM23" s="1"/>
      <c r="DN23" s="1"/>
      <c r="DO23" s="1"/>
      <c r="DP23" s="1"/>
    </row>
    <row r="24" spans="1:120" ht="14.45" customHeight="1">
      <c r="A24" s="1349"/>
      <c r="B24" s="1349"/>
      <c r="C24" s="1059"/>
      <c r="D24" s="1060"/>
      <c r="E24" s="1060"/>
      <c r="F24" s="1368"/>
      <c r="G24" s="1466">
        <f>社会保険・生命・地震保険!I18</f>
        <v>0</v>
      </c>
      <c r="H24" s="1467"/>
      <c r="I24" s="1467"/>
      <c r="J24" s="1467"/>
      <c r="K24" s="1467"/>
      <c r="L24" s="1467"/>
      <c r="M24" s="1467"/>
      <c r="N24" s="1467"/>
      <c r="O24" s="1467"/>
      <c r="P24" s="1467"/>
      <c r="Q24" s="1467"/>
      <c r="R24" s="1467"/>
      <c r="S24" s="445" t="s">
        <v>67</v>
      </c>
      <c r="T24" s="1475">
        <f>社会保険・生命・地震保険!I21</f>
        <v>0</v>
      </c>
      <c r="U24" s="1476"/>
      <c r="V24" s="1476"/>
      <c r="W24" s="1476"/>
      <c r="X24" s="1476"/>
      <c r="Y24" s="1476"/>
      <c r="Z24" s="1476"/>
      <c r="AA24" s="1476"/>
      <c r="AB24" s="1476"/>
      <c r="AC24" s="1476"/>
      <c r="AD24" s="1476"/>
      <c r="AE24" s="1476"/>
      <c r="AF24" s="1476"/>
      <c r="AG24" s="445" t="s">
        <v>67</v>
      </c>
      <c r="AH24" s="446"/>
      <c r="AI24" s="1439"/>
      <c r="AJ24" s="1439"/>
      <c r="AK24" s="1309" t="s">
        <v>48</v>
      </c>
      <c r="AL24" s="1310"/>
      <c r="AM24" s="1313" t="s">
        <v>524</v>
      </c>
      <c r="AN24" s="1313"/>
      <c r="AO24" s="1313"/>
      <c r="AP24" s="1313"/>
      <c r="AQ24" s="1313"/>
      <c r="AR24" s="1314"/>
      <c r="AS24" s="1441" t="s">
        <v>40</v>
      </c>
      <c r="AT24" s="1442"/>
      <c r="AU24" s="1443"/>
      <c r="AV24" s="1403">
        <f>給与・年金!D30</f>
        <v>0</v>
      </c>
      <c r="AW24" s="1257"/>
      <c r="AX24" s="1257"/>
      <c r="AY24" s="1257"/>
      <c r="AZ24" s="1257"/>
      <c r="BA24" s="1257"/>
      <c r="BB24" s="440"/>
      <c r="BC24" s="317"/>
      <c r="BF24" s="5"/>
      <c r="BG24"/>
      <c r="BH24"/>
      <c r="BI24"/>
      <c r="BJ24"/>
      <c r="BK24"/>
      <c r="BL24"/>
      <c r="BM24"/>
      <c r="BN24"/>
      <c r="BO24"/>
      <c r="DG24" s="1"/>
      <c r="DH24" s="1"/>
      <c r="DI24" s="1"/>
      <c r="DJ24" s="1"/>
      <c r="DK24" s="1"/>
      <c r="DL24" s="1"/>
      <c r="DM24" s="1"/>
      <c r="DN24" s="1"/>
      <c r="DO24" s="1"/>
      <c r="DP24" s="1"/>
    </row>
    <row r="25" spans="1:120" ht="14.45" customHeight="1">
      <c r="A25" s="1349"/>
      <c r="B25" s="1349"/>
      <c r="C25" s="1059"/>
      <c r="D25" s="1060"/>
      <c r="E25" s="1060"/>
      <c r="F25" s="1368"/>
      <c r="G25" s="1420" t="s">
        <v>15</v>
      </c>
      <c r="H25" s="1421"/>
      <c r="I25" s="1421"/>
      <c r="J25" s="1421"/>
      <c r="K25" s="1421"/>
      <c r="L25" s="1421"/>
      <c r="M25" s="1421"/>
      <c r="N25" s="1421"/>
      <c r="O25" s="1421"/>
      <c r="P25" s="1421"/>
      <c r="Q25" s="1421"/>
      <c r="R25" s="1421"/>
      <c r="S25" s="1422"/>
      <c r="T25" s="1420" t="s">
        <v>16</v>
      </c>
      <c r="U25" s="1421"/>
      <c r="V25" s="1421"/>
      <c r="W25" s="1421"/>
      <c r="X25" s="1421"/>
      <c r="Y25" s="1421"/>
      <c r="Z25" s="1421"/>
      <c r="AA25" s="1421"/>
      <c r="AB25" s="1421"/>
      <c r="AC25" s="1421"/>
      <c r="AD25" s="1421"/>
      <c r="AE25" s="1421"/>
      <c r="AF25" s="1421"/>
      <c r="AG25" s="444"/>
      <c r="AH25" s="433"/>
      <c r="AI25" s="1439"/>
      <c r="AJ25" s="1439"/>
      <c r="AK25" s="1309"/>
      <c r="AL25" s="1310"/>
      <c r="AM25" s="1424" t="s">
        <v>295</v>
      </c>
      <c r="AN25" s="1424"/>
      <c r="AO25" s="1424"/>
      <c r="AP25" s="1424"/>
      <c r="AQ25" s="1424"/>
      <c r="AR25" s="1425"/>
      <c r="AS25" s="1441" t="s">
        <v>42</v>
      </c>
      <c r="AT25" s="1442"/>
      <c r="AU25" s="1443"/>
      <c r="AV25" s="1403">
        <f>営業等!P33</f>
        <v>0</v>
      </c>
      <c r="AW25" s="1257"/>
      <c r="AX25" s="1257"/>
      <c r="AY25" s="1257"/>
      <c r="AZ25" s="1257"/>
      <c r="BA25" s="1257"/>
      <c r="BB25" s="440"/>
      <c r="BC25" s="317"/>
      <c r="BF25" s="5"/>
      <c r="BG25"/>
      <c r="BH25"/>
      <c r="BI25"/>
      <c r="BJ25"/>
      <c r="BK25"/>
      <c r="BL25"/>
      <c r="BM25"/>
      <c r="BN25"/>
      <c r="BO25"/>
      <c r="DG25" s="1"/>
      <c r="DH25" s="1"/>
      <c r="DI25" s="1"/>
      <c r="DJ25" s="1"/>
      <c r="DK25" s="1"/>
      <c r="DL25" s="1"/>
      <c r="DM25" s="1"/>
      <c r="DN25" s="1"/>
      <c r="DO25" s="1"/>
      <c r="DP25" s="1"/>
    </row>
    <row r="26" spans="1:120" ht="14.45" customHeight="1">
      <c r="A26" s="1349"/>
      <c r="B26" s="1349"/>
      <c r="C26" s="1059"/>
      <c r="D26" s="1060"/>
      <c r="E26" s="1060"/>
      <c r="F26" s="1368"/>
      <c r="G26" s="1466">
        <f>社会保険・生命・地震保険!I19</f>
        <v>0</v>
      </c>
      <c r="H26" s="1467"/>
      <c r="I26" s="1467"/>
      <c r="J26" s="1467"/>
      <c r="K26" s="1467"/>
      <c r="L26" s="1467"/>
      <c r="M26" s="1467"/>
      <c r="N26" s="1467"/>
      <c r="O26" s="1467"/>
      <c r="P26" s="1467"/>
      <c r="Q26" s="1467"/>
      <c r="R26" s="1467"/>
      <c r="S26" s="447"/>
      <c r="T26" s="1475">
        <f>社会保険・生命・地震保険!I22</f>
        <v>0</v>
      </c>
      <c r="U26" s="1476"/>
      <c r="V26" s="1476"/>
      <c r="W26" s="1476"/>
      <c r="X26" s="1476"/>
      <c r="Y26" s="1476"/>
      <c r="Z26" s="1476"/>
      <c r="AA26" s="1476"/>
      <c r="AB26" s="1476"/>
      <c r="AC26" s="1476"/>
      <c r="AD26" s="1476"/>
      <c r="AE26" s="1476"/>
      <c r="AF26" s="1476"/>
      <c r="AG26" s="447"/>
      <c r="AH26" s="433"/>
      <c r="AI26" s="1439"/>
      <c r="AJ26" s="1439"/>
      <c r="AK26" s="1309"/>
      <c r="AL26" s="1310"/>
      <c r="AM26" s="1310" t="s">
        <v>41</v>
      </c>
      <c r="AN26" s="1310"/>
      <c r="AO26" s="1310"/>
      <c r="AP26" s="1310"/>
      <c r="AQ26" s="1310"/>
      <c r="AR26" s="1311"/>
      <c r="AS26" s="1426" t="s">
        <v>425</v>
      </c>
      <c r="AT26" s="1427"/>
      <c r="AU26" s="1428"/>
      <c r="AV26" s="1403">
        <f>営業等!P38</f>
        <v>0</v>
      </c>
      <c r="AW26" s="1257"/>
      <c r="AX26" s="1257"/>
      <c r="AY26" s="1257"/>
      <c r="AZ26" s="1257"/>
      <c r="BA26" s="1257"/>
      <c r="BB26" s="440"/>
      <c r="BC26" s="317"/>
      <c r="BF26" s="5"/>
      <c r="BG26"/>
      <c r="BH26"/>
      <c r="BI26"/>
      <c r="BJ26"/>
      <c r="BK26"/>
      <c r="BL26"/>
      <c r="BM26"/>
      <c r="BN26"/>
      <c r="BO26"/>
      <c r="DG26" s="1"/>
      <c r="DH26" s="1"/>
      <c r="DI26" s="1"/>
      <c r="DJ26" s="1"/>
      <c r="DK26" s="1"/>
      <c r="DL26" s="1"/>
      <c r="DM26" s="1"/>
      <c r="DN26" s="1"/>
      <c r="DO26" s="1"/>
      <c r="DP26" s="1"/>
    </row>
    <row r="27" spans="1:120" ht="14.45" customHeight="1">
      <c r="A27" s="1349"/>
      <c r="B27" s="1349"/>
      <c r="C27" s="1059"/>
      <c r="D27" s="1060"/>
      <c r="E27" s="1060"/>
      <c r="F27" s="1368"/>
      <c r="G27" s="1420" t="s">
        <v>17</v>
      </c>
      <c r="H27" s="1421"/>
      <c r="I27" s="1421"/>
      <c r="J27" s="1421"/>
      <c r="K27" s="1421"/>
      <c r="L27" s="1421"/>
      <c r="M27" s="1421"/>
      <c r="N27" s="1421"/>
      <c r="O27" s="1421"/>
      <c r="P27" s="1421"/>
      <c r="Q27" s="1421"/>
      <c r="R27" s="1421"/>
      <c r="S27" s="1422"/>
      <c r="T27" s="1420"/>
      <c r="U27" s="1421"/>
      <c r="V27" s="1421"/>
      <c r="W27" s="1421"/>
      <c r="X27" s="1421"/>
      <c r="Y27" s="1421"/>
      <c r="Z27" s="1421"/>
      <c r="AA27" s="1421"/>
      <c r="AB27" s="1421"/>
      <c r="AC27" s="1421"/>
      <c r="AD27" s="1421"/>
      <c r="AE27" s="1421"/>
      <c r="AF27" s="1421"/>
      <c r="AG27" s="1422"/>
      <c r="AH27" s="433"/>
      <c r="AI27" s="1439"/>
      <c r="AJ27" s="1439"/>
      <c r="AK27" s="1309" t="s">
        <v>521</v>
      </c>
      <c r="AL27" s="1310"/>
      <c r="AM27" s="1310"/>
      <c r="AN27" s="1310"/>
      <c r="AO27" s="1310" t="s">
        <v>43</v>
      </c>
      <c r="AP27" s="1310"/>
      <c r="AQ27" s="1310"/>
      <c r="AR27" s="1311"/>
      <c r="AS27" s="1426" t="s">
        <v>426</v>
      </c>
      <c r="AT27" s="1427"/>
      <c r="AU27" s="1428"/>
      <c r="AV27" s="1403">
        <f>一時所得等!L6</f>
        <v>0</v>
      </c>
      <c r="AW27" s="1257"/>
      <c r="AX27" s="1257"/>
      <c r="AY27" s="1257"/>
      <c r="AZ27" s="1257"/>
      <c r="BA27" s="1257"/>
      <c r="BB27" s="440"/>
      <c r="BC27" s="317"/>
      <c r="BF27" s="5"/>
      <c r="BG27"/>
      <c r="BH27"/>
      <c r="BI27"/>
      <c r="BJ27"/>
      <c r="BK27"/>
      <c r="BL27"/>
      <c r="BM27"/>
      <c r="BN27"/>
      <c r="BO27"/>
      <c r="DG27" s="1"/>
      <c r="DH27" s="1"/>
      <c r="DI27" s="1"/>
      <c r="DJ27" s="1"/>
      <c r="DK27" s="1"/>
      <c r="DL27" s="1"/>
      <c r="DM27" s="1"/>
      <c r="DN27" s="1"/>
      <c r="DO27" s="1"/>
      <c r="DP27" s="1"/>
    </row>
    <row r="28" spans="1:120" ht="14.45" customHeight="1">
      <c r="A28" s="1349"/>
      <c r="B28" s="1349"/>
      <c r="C28" s="1062"/>
      <c r="D28" s="1063"/>
      <c r="E28" s="1063"/>
      <c r="F28" s="1369"/>
      <c r="G28" s="1466">
        <f>社会保険・生命・地震保険!I20</f>
        <v>0</v>
      </c>
      <c r="H28" s="1467"/>
      <c r="I28" s="1467"/>
      <c r="J28" s="1467"/>
      <c r="K28" s="1467"/>
      <c r="L28" s="1467"/>
      <c r="M28" s="1467"/>
      <c r="N28" s="1467"/>
      <c r="O28" s="1467"/>
      <c r="P28" s="1467"/>
      <c r="Q28" s="1467"/>
      <c r="R28" s="1467"/>
      <c r="S28" s="447"/>
      <c r="T28" s="1477"/>
      <c r="U28" s="1478"/>
      <c r="V28" s="1478"/>
      <c r="W28" s="1478"/>
      <c r="X28" s="1478"/>
      <c r="Y28" s="1478"/>
      <c r="Z28" s="1478"/>
      <c r="AA28" s="1478"/>
      <c r="AB28" s="1478"/>
      <c r="AC28" s="1478"/>
      <c r="AD28" s="1478"/>
      <c r="AE28" s="1478"/>
      <c r="AF28" s="1478"/>
      <c r="AG28" s="1479"/>
      <c r="AH28" s="433"/>
      <c r="AI28" s="1439"/>
      <c r="AJ28" s="1439"/>
      <c r="AK28" s="1309"/>
      <c r="AL28" s="1310"/>
      <c r="AM28" s="1310"/>
      <c r="AN28" s="1310"/>
      <c r="AO28" s="1310" t="s">
        <v>137</v>
      </c>
      <c r="AP28" s="1310"/>
      <c r="AQ28" s="1310"/>
      <c r="AR28" s="1311"/>
      <c r="AS28" s="1426" t="s">
        <v>427</v>
      </c>
      <c r="AT28" s="1427"/>
      <c r="AU28" s="1428"/>
      <c r="AV28" s="1403">
        <f>一時所得等!L13</f>
        <v>0</v>
      </c>
      <c r="AW28" s="1257"/>
      <c r="AX28" s="1257"/>
      <c r="AY28" s="1257"/>
      <c r="AZ28" s="1257"/>
      <c r="BA28" s="1257"/>
      <c r="BB28" s="440"/>
      <c r="BC28" s="317"/>
      <c r="BF28" s="5"/>
      <c r="BG28"/>
      <c r="BH28"/>
      <c r="BI28"/>
      <c r="BJ28"/>
      <c r="BK28"/>
      <c r="BL28"/>
      <c r="BM28"/>
      <c r="BN28"/>
      <c r="BO28"/>
      <c r="DG28" s="1"/>
      <c r="DH28" s="1"/>
      <c r="DI28" s="1"/>
      <c r="DJ28" s="1"/>
      <c r="DK28" s="1"/>
      <c r="DL28" s="1"/>
      <c r="DM28" s="1"/>
      <c r="DN28" s="1"/>
      <c r="DO28" s="1"/>
      <c r="DP28" s="1"/>
    </row>
    <row r="29" spans="1:120" ht="14.45" customHeight="1">
      <c r="A29" s="1349"/>
      <c r="B29" s="1349"/>
      <c r="C29" s="1076" t="s">
        <v>924</v>
      </c>
      <c r="D29" s="1077"/>
      <c r="E29" s="1077"/>
      <c r="F29" s="1078"/>
      <c r="G29" s="1420" t="s">
        <v>188</v>
      </c>
      <c r="H29" s="1421"/>
      <c r="I29" s="1421"/>
      <c r="J29" s="1421"/>
      <c r="K29" s="1421"/>
      <c r="L29" s="1421"/>
      <c r="M29" s="1421"/>
      <c r="N29" s="1421"/>
      <c r="O29" s="1421"/>
      <c r="P29" s="1421"/>
      <c r="Q29" s="1421"/>
      <c r="R29" s="1421"/>
      <c r="S29" s="1422"/>
      <c r="T29" s="1420" t="s">
        <v>189</v>
      </c>
      <c r="U29" s="1421"/>
      <c r="V29" s="1421"/>
      <c r="W29" s="1421"/>
      <c r="X29" s="1421"/>
      <c r="Y29" s="1421"/>
      <c r="Z29" s="1421"/>
      <c r="AA29" s="1421"/>
      <c r="AB29" s="1421"/>
      <c r="AC29" s="1421"/>
      <c r="AD29" s="1421"/>
      <c r="AE29" s="1421"/>
      <c r="AF29" s="1421"/>
      <c r="AG29" s="444"/>
      <c r="AH29" s="433"/>
      <c r="AI29" s="1440"/>
      <c r="AJ29" s="1440"/>
      <c r="AK29" s="1303" t="s">
        <v>45</v>
      </c>
      <c r="AL29" s="1304"/>
      <c r="AM29" s="1304"/>
      <c r="AN29" s="1304"/>
      <c r="AO29" s="1304"/>
      <c r="AP29" s="1304"/>
      <c r="AQ29" s="1304"/>
      <c r="AR29" s="1305"/>
      <c r="AS29" s="1480" t="s">
        <v>428</v>
      </c>
      <c r="AT29" s="1481"/>
      <c r="AU29" s="1482"/>
      <c r="AV29" s="1423">
        <f>一時所得等!L19</f>
        <v>0</v>
      </c>
      <c r="AW29" s="1030"/>
      <c r="AX29" s="1030"/>
      <c r="AY29" s="1030"/>
      <c r="AZ29" s="1030"/>
      <c r="BA29" s="1030"/>
      <c r="BB29" s="448"/>
      <c r="BC29" s="317"/>
      <c r="BF29" s="5"/>
      <c r="BG29"/>
      <c r="BH29"/>
      <c r="BI29"/>
      <c r="BJ29"/>
      <c r="BK29"/>
      <c r="BL29"/>
      <c r="BM29"/>
      <c r="BN29"/>
      <c r="BO29"/>
      <c r="DG29" s="1"/>
      <c r="DH29" s="1"/>
      <c r="DI29" s="1"/>
      <c r="DJ29" s="1"/>
      <c r="DK29" s="1"/>
      <c r="DL29" s="1"/>
      <c r="DM29" s="1"/>
      <c r="DN29" s="1"/>
      <c r="DO29" s="1"/>
      <c r="DP29" s="1"/>
    </row>
    <row r="30" spans="1:120" ht="14.45" customHeight="1">
      <c r="A30" s="1349"/>
      <c r="B30" s="1349"/>
      <c r="C30" s="1082"/>
      <c r="D30" s="1083"/>
      <c r="E30" s="1083"/>
      <c r="F30" s="1084"/>
      <c r="G30" s="1466">
        <f>社会保険・生命・地震保険!I26</f>
        <v>0</v>
      </c>
      <c r="H30" s="1467"/>
      <c r="I30" s="1467"/>
      <c r="J30" s="1467"/>
      <c r="K30" s="1467"/>
      <c r="L30" s="1467"/>
      <c r="M30" s="1467"/>
      <c r="N30" s="1467"/>
      <c r="O30" s="1467"/>
      <c r="P30" s="1467"/>
      <c r="Q30" s="1467"/>
      <c r="R30" s="1467"/>
      <c r="S30" s="445" t="s">
        <v>530</v>
      </c>
      <c r="T30" s="1460">
        <f>社会保険・生命・地震保険!I27</f>
        <v>0</v>
      </c>
      <c r="U30" s="1461"/>
      <c r="V30" s="1461"/>
      <c r="W30" s="1461"/>
      <c r="X30" s="1461"/>
      <c r="Y30" s="1461"/>
      <c r="Z30" s="1461"/>
      <c r="AA30" s="1461"/>
      <c r="AB30" s="1461"/>
      <c r="AC30" s="1461"/>
      <c r="AD30" s="1461"/>
      <c r="AE30" s="1461"/>
      <c r="AF30" s="1461"/>
      <c r="AG30" s="445" t="s">
        <v>67</v>
      </c>
      <c r="AH30" s="433"/>
      <c r="AI30" s="1458">
        <v>2</v>
      </c>
      <c r="AJ30" s="1459"/>
      <c r="AK30" s="1444" t="s">
        <v>520</v>
      </c>
      <c r="AL30" s="1445"/>
      <c r="AM30" s="1453" t="s">
        <v>26</v>
      </c>
      <c r="AN30" s="1453"/>
      <c r="AO30" s="1453"/>
      <c r="AP30" s="1453"/>
      <c r="AQ30" s="1453"/>
      <c r="AR30" s="1454"/>
      <c r="AS30" s="1483" t="s">
        <v>49</v>
      </c>
      <c r="AT30" s="1484"/>
      <c r="AU30" s="1485"/>
      <c r="AV30" s="1401">
        <f>営業等!L3</f>
        <v>0</v>
      </c>
      <c r="AW30" s="1402"/>
      <c r="AX30" s="1402"/>
      <c r="AY30" s="1402"/>
      <c r="AZ30" s="1402"/>
      <c r="BA30" s="1402"/>
      <c r="BB30" s="437" t="s">
        <v>67</v>
      </c>
      <c r="BC30" s="317"/>
      <c r="BF30" s="5"/>
      <c r="BG30"/>
      <c r="BH30"/>
      <c r="BI30"/>
      <c r="BJ30"/>
      <c r="BK30"/>
      <c r="BL30"/>
      <c r="BM30"/>
      <c r="BN30"/>
      <c r="BO30"/>
      <c r="DG30" s="1"/>
      <c r="DH30" s="1"/>
      <c r="DI30" s="1"/>
      <c r="DJ30" s="1"/>
      <c r="DK30" s="1"/>
      <c r="DL30" s="1"/>
      <c r="DM30" s="1"/>
      <c r="DN30" s="1"/>
      <c r="DO30" s="1"/>
      <c r="DP30" s="1"/>
    </row>
    <row r="31" spans="1:120" ht="14.45" customHeight="1">
      <c r="A31" s="1349"/>
      <c r="B31" s="1349"/>
      <c r="C31" s="1359" t="s">
        <v>900</v>
      </c>
      <c r="D31" s="1360"/>
      <c r="E31" s="1360"/>
      <c r="F31" s="1361"/>
      <c r="G31" s="449" t="s">
        <v>907</v>
      </c>
      <c r="H31" s="1037" t="str">
        <f>寡婦・ひとり親・勤労学生!C12</f>
        <v>□</v>
      </c>
      <c r="I31" s="1037"/>
      <c r="J31" s="1035" t="s">
        <v>129</v>
      </c>
      <c r="K31" s="1035"/>
      <c r="L31" s="1035"/>
      <c r="M31" s="1035"/>
      <c r="N31" s="1035"/>
      <c r="O31" s="1035"/>
      <c r="P31" s="1035"/>
      <c r="Q31" s="1036"/>
      <c r="R31" s="449" t="s">
        <v>908</v>
      </c>
      <c r="S31" s="1037" t="str">
        <f>寡婦・ひとり親・勤労学生!C2</f>
        <v>□</v>
      </c>
      <c r="T31" s="1037"/>
      <c r="U31" s="1035" t="s">
        <v>134</v>
      </c>
      <c r="V31" s="1035"/>
      <c r="W31" s="1035"/>
      <c r="X31" s="1035"/>
      <c r="Y31" s="1035"/>
      <c r="Z31" s="1036"/>
      <c r="AA31" s="450" t="s">
        <v>909</v>
      </c>
      <c r="AB31" s="451" t="str">
        <f>寡婦・ひとり親・勤労学生!C25</f>
        <v>□</v>
      </c>
      <c r="AC31" s="1035" t="s">
        <v>135</v>
      </c>
      <c r="AD31" s="1035"/>
      <c r="AE31" s="1035"/>
      <c r="AF31" s="1035"/>
      <c r="AG31" s="1036"/>
      <c r="AH31" s="433"/>
      <c r="AI31" s="1458"/>
      <c r="AJ31" s="1459"/>
      <c r="AK31" s="1309"/>
      <c r="AL31" s="1310"/>
      <c r="AM31" s="1448" t="s">
        <v>28</v>
      </c>
      <c r="AN31" s="1448"/>
      <c r="AO31" s="1448"/>
      <c r="AP31" s="1448"/>
      <c r="AQ31" s="1448"/>
      <c r="AR31" s="1449"/>
      <c r="AS31" s="1450" t="s">
        <v>50</v>
      </c>
      <c r="AT31" s="1451"/>
      <c r="AU31" s="1452"/>
      <c r="AV31" s="1403">
        <f>営業等!L7</f>
        <v>0</v>
      </c>
      <c r="AW31" s="1257"/>
      <c r="AX31" s="1257"/>
      <c r="AY31" s="1257"/>
      <c r="AZ31" s="1257"/>
      <c r="BA31" s="1257"/>
      <c r="BB31" s="440"/>
      <c r="BC31" s="317"/>
      <c r="BF31" s="5"/>
      <c r="BG31"/>
      <c r="BH31"/>
      <c r="BI31"/>
      <c r="BJ31"/>
      <c r="BK31"/>
      <c r="BL31"/>
      <c r="BM31"/>
      <c r="BN31"/>
      <c r="BO31"/>
      <c r="DG31" s="1"/>
      <c r="DH31" s="1"/>
      <c r="DI31" s="1"/>
      <c r="DJ31" s="1"/>
      <c r="DK31" s="1"/>
      <c r="DL31" s="1"/>
      <c r="DM31" s="1"/>
      <c r="DN31" s="1"/>
      <c r="DO31" s="1"/>
      <c r="DP31" s="1"/>
    </row>
    <row r="32" spans="1:120" ht="14.45" customHeight="1">
      <c r="A32" s="1349"/>
      <c r="B32" s="1349"/>
      <c r="C32" s="1362"/>
      <c r="D32" s="1363"/>
      <c r="E32" s="1363"/>
      <c r="F32" s="1364"/>
      <c r="G32" s="452"/>
      <c r="H32" s="1508" t="str">
        <f>計算用資料!F146</f>
        <v>□</v>
      </c>
      <c r="I32" s="1508"/>
      <c r="J32" s="1510" t="s">
        <v>130</v>
      </c>
      <c r="K32" s="1510"/>
      <c r="L32" s="1510"/>
      <c r="M32" s="1508" t="str">
        <f>計算用資料!H146</f>
        <v>□</v>
      </c>
      <c r="N32" s="1508"/>
      <c r="O32" s="1510" t="s">
        <v>132</v>
      </c>
      <c r="P32" s="1510"/>
      <c r="Q32" s="1513"/>
      <c r="R32" s="453"/>
      <c r="S32" s="454"/>
      <c r="T32" s="455"/>
      <c r="U32" s="455"/>
      <c r="V32" s="454"/>
      <c r="W32" s="456"/>
      <c r="X32" s="456"/>
      <c r="Y32" s="456"/>
      <c r="Z32" s="457"/>
      <c r="AA32" s="1079" t="s">
        <v>191</v>
      </c>
      <c r="AB32" s="1080"/>
      <c r="AC32" s="1080"/>
      <c r="AD32" s="1502">
        <f>寡婦・ひとり親・勤労学生!E30</f>
        <v>0</v>
      </c>
      <c r="AE32" s="1502"/>
      <c r="AF32" s="1502"/>
      <c r="AG32" s="1503"/>
      <c r="AH32" s="433"/>
      <c r="AI32" s="1462" t="s">
        <v>58</v>
      </c>
      <c r="AJ32" s="1463"/>
      <c r="AK32" s="1309" t="s">
        <v>30</v>
      </c>
      <c r="AL32" s="1310"/>
      <c r="AM32" s="1310"/>
      <c r="AN32" s="1310"/>
      <c r="AO32" s="1310"/>
      <c r="AP32" s="1310"/>
      <c r="AQ32" s="1310"/>
      <c r="AR32" s="1311"/>
      <c r="AS32" s="1450" t="s">
        <v>51</v>
      </c>
      <c r="AT32" s="1451"/>
      <c r="AU32" s="1452"/>
      <c r="AV32" s="1403">
        <f>営業等!L11</f>
        <v>0</v>
      </c>
      <c r="AW32" s="1257"/>
      <c r="AX32" s="1257"/>
      <c r="AY32" s="1257"/>
      <c r="AZ32" s="1257"/>
      <c r="BA32" s="1257"/>
      <c r="BB32" s="440"/>
      <c r="BC32" s="317"/>
      <c r="BF32" s="5"/>
      <c r="BG32"/>
      <c r="BH32"/>
      <c r="BI32"/>
      <c r="BJ32"/>
      <c r="BK32"/>
      <c r="BL32"/>
      <c r="BM32"/>
      <c r="BN32"/>
      <c r="BO32"/>
      <c r="DG32" s="1"/>
      <c r="DH32" s="1"/>
      <c r="DI32" s="1"/>
      <c r="DJ32" s="1"/>
      <c r="DK32" s="1"/>
      <c r="DL32" s="1"/>
      <c r="DM32" s="1"/>
      <c r="DN32" s="1"/>
      <c r="DO32" s="1"/>
      <c r="DP32" s="1"/>
    </row>
    <row r="33" spans="1:120" ht="14.45" customHeight="1">
      <c r="A33" s="1349"/>
      <c r="B33" s="1349"/>
      <c r="C33" s="1365"/>
      <c r="D33" s="1366"/>
      <c r="E33" s="1366"/>
      <c r="F33" s="1367"/>
      <c r="G33" s="458"/>
      <c r="H33" s="1509" t="str">
        <f>計算用資料!G146</f>
        <v>□</v>
      </c>
      <c r="I33" s="1509"/>
      <c r="J33" s="1511" t="s">
        <v>131</v>
      </c>
      <c r="K33" s="1511"/>
      <c r="L33" s="1511"/>
      <c r="M33" s="1509" t="str">
        <f>計算用資料!I146</f>
        <v>□</v>
      </c>
      <c r="N33" s="1509"/>
      <c r="O33" s="1511" t="s">
        <v>133</v>
      </c>
      <c r="P33" s="1511"/>
      <c r="Q33" s="1512"/>
      <c r="R33" s="458"/>
      <c r="S33" s="459"/>
      <c r="T33" s="460"/>
      <c r="U33" s="460"/>
      <c r="V33" s="459"/>
      <c r="W33" s="459"/>
      <c r="X33" s="459"/>
      <c r="Y33" s="459"/>
      <c r="Z33" s="461"/>
      <c r="AA33" s="1082"/>
      <c r="AB33" s="1083"/>
      <c r="AC33" s="1083"/>
      <c r="AD33" s="1504"/>
      <c r="AE33" s="1504"/>
      <c r="AF33" s="1504"/>
      <c r="AG33" s="1505"/>
      <c r="AH33" s="433"/>
      <c r="AI33" s="1462"/>
      <c r="AJ33" s="1463"/>
      <c r="AK33" s="1447" t="s">
        <v>32</v>
      </c>
      <c r="AL33" s="1448"/>
      <c r="AM33" s="1448"/>
      <c r="AN33" s="1448"/>
      <c r="AO33" s="1448"/>
      <c r="AP33" s="1448"/>
      <c r="AQ33" s="1448"/>
      <c r="AR33" s="1449"/>
      <c r="AS33" s="1450" t="s">
        <v>52</v>
      </c>
      <c r="AT33" s="1451"/>
      <c r="AU33" s="1452"/>
      <c r="AV33" s="1403">
        <f>営業等!P16</f>
        <v>0</v>
      </c>
      <c r="AW33" s="1257"/>
      <c r="AX33" s="1257"/>
      <c r="AY33" s="1257"/>
      <c r="AZ33" s="1257"/>
      <c r="BA33" s="1257"/>
      <c r="BB33" s="440"/>
      <c r="BC33" s="317"/>
      <c r="BF33" s="5"/>
      <c r="BG33"/>
      <c r="BH33"/>
      <c r="BI33"/>
      <c r="BJ33"/>
      <c r="BK33"/>
      <c r="BL33"/>
      <c r="BM33"/>
      <c r="BN33"/>
      <c r="BO33"/>
      <c r="DG33" s="1"/>
      <c r="DH33" s="1"/>
      <c r="DI33" s="1"/>
      <c r="DJ33" s="1"/>
      <c r="DK33" s="1"/>
      <c r="DL33" s="1"/>
      <c r="DM33" s="1"/>
      <c r="DN33" s="1"/>
      <c r="DO33" s="1"/>
      <c r="DP33" s="1"/>
    </row>
    <row r="34" spans="1:120" ht="14.45" customHeight="1">
      <c r="A34" s="1349"/>
      <c r="B34" s="1349"/>
      <c r="C34" s="1056" t="s">
        <v>901</v>
      </c>
      <c r="D34" s="1057"/>
      <c r="E34" s="1057"/>
      <c r="F34" s="1113"/>
      <c r="G34" s="1468">
        <v>1</v>
      </c>
      <c r="H34" s="1370" t="s">
        <v>21</v>
      </c>
      <c r="I34" s="1370"/>
      <c r="J34" s="1370"/>
      <c r="K34" s="1370"/>
      <c r="L34" s="1371">
        <f>障害者控除!D13</f>
        <v>0</v>
      </c>
      <c r="M34" s="1371"/>
      <c r="N34" s="1371"/>
      <c r="O34" s="1371"/>
      <c r="P34" s="1371"/>
      <c r="Q34" s="1371"/>
      <c r="R34" s="1371"/>
      <c r="S34" s="1371"/>
      <c r="T34" s="1371"/>
      <c r="U34" s="1371"/>
      <c r="V34" s="1371"/>
      <c r="W34" s="1371"/>
      <c r="X34" s="1109" t="s">
        <v>77</v>
      </c>
      <c r="Y34" s="1109"/>
      <c r="Z34" s="1109"/>
      <c r="AA34" s="1506" t="s">
        <v>151</v>
      </c>
      <c r="AB34" s="1506"/>
      <c r="AC34" s="1506"/>
      <c r="AD34" s="1506"/>
      <c r="AE34" s="1506"/>
      <c r="AF34" s="1506"/>
      <c r="AG34" s="1507"/>
      <c r="AH34" s="433"/>
      <c r="AI34" s="1462"/>
      <c r="AJ34" s="1463"/>
      <c r="AK34" s="1447" t="s">
        <v>34</v>
      </c>
      <c r="AL34" s="1448"/>
      <c r="AM34" s="1448"/>
      <c r="AN34" s="1448"/>
      <c r="AO34" s="1448"/>
      <c r="AP34" s="1448"/>
      <c r="AQ34" s="1448"/>
      <c r="AR34" s="1449"/>
      <c r="AS34" s="1450" t="s">
        <v>53</v>
      </c>
      <c r="AT34" s="1451"/>
      <c r="AU34" s="1452"/>
      <c r="AV34" s="1403">
        <f>計算用資料!D158</f>
        <v>0</v>
      </c>
      <c r="AW34" s="1257"/>
      <c r="AX34" s="1257"/>
      <c r="AY34" s="1257"/>
      <c r="AZ34" s="1257"/>
      <c r="BA34" s="1257"/>
      <c r="BB34" s="440"/>
      <c r="BC34" s="433"/>
      <c r="BD34" s="81"/>
      <c r="BE34" s="81"/>
      <c r="BF34" s="5"/>
      <c r="BG34"/>
      <c r="BH34"/>
      <c r="BI34"/>
      <c r="BJ34"/>
      <c r="BK34"/>
      <c r="BL34"/>
      <c r="BM34"/>
      <c r="BN34"/>
      <c r="BO34"/>
      <c r="DG34" s="1"/>
      <c r="DH34" s="1"/>
      <c r="DI34" s="1"/>
      <c r="DJ34" s="1"/>
      <c r="DK34" s="1"/>
      <c r="DL34" s="1"/>
      <c r="DM34" s="1"/>
      <c r="DN34" s="1"/>
      <c r="DO34" s="1"/>
      <c r="DP34" s="1"/>
    </row>
    <row r="35" spans="1:120" ht="14.45" customHeight="1">
      <c r="A35" s="1349"/>
      <c r="B35" s="1349"/>
      <c r="C35" s="1059"/>
      <c r="D35" s="1060"/>
      <c r="E35" s="1060"/>
      <c r="F35" s="1368"/>
      <c r="G35" s="1469"/>
      <c r="H35" s="1110" t="s">
        <v>4</v>
      </c>
      <c r="I35" s="1110"/>
      <c r="J35" s="1110"/>
      <c r="K35" s="1110"/>
      <c r="L35" s="1515">
        <f>障害者控除!D14</f>
        <v>0</v>
      </c>
      <c r="M35" s="1515"/>
      <c r="N35" s="1515"/>
      <c r="O35" s="1515"/>
      <c r="P35" s="1515"/>
      <c r="Q35" s="1515"/>
      <c r="R35" s="1515"/>
      <c r="S35" s="1515"/>
      <c r="T35" s="1515"/>
      <c r="U35" s="1515"/>
      <c r="V35" s="1515"/>
      <c r="W35" s="1515"/>
      <c r="X35" s="1110"/>
      <c r="Y35" s="1110"/>
      <c r="Z35" s="1110"/>
      <c r="AA35" s="1320" t="str">
        <f>障害者控除!C17</f>
        <v>　</v>
      </c>
      <c r="AB35" s="1320"/>
      <c r="AC35" s="1320"/>
      <c r="AD35" s="1320"/>
      <c r="AE35" s="1320"/>
      <c r="AF35" s="1320"/>
      <c r="AG35" s="1321"/>
      <c r="AH35" s="433"/>
      <c r="AI35" s="1462"/>
      <c r="AJ35" s="1463"/>
      <c r="AK35" s="1447" t="s">
        <v>54</v>
      </c>
      <c r="AL35" s="1448"/>
      <c r="AM35" s="1448"/>
      <c r="AN35" s="1448"/>
      <c r="AO35" s="1448"/>
      <c r="AP35" s="1448"/>
      <c r="AQ35" s="1448"/>
      <c r="AR35" s="1449"/>
      <c r="AS35" s="1450" t="s">
        <v>55</v>
      </c>
      <c r="AT35" s="1451"/>
      <c r="AU35" s="1452"/>
      <c r="AV35" s="1403">
        <f>計算用資料!G19</f>
        <v>0</v>
      </c>
      <c r="AW35" s="1257"/>
      <c r="AX35" s="1257"/>
      <c r="AY35" s="1257"/>
      <c r="AZ35" s="1257"/>
      <c r="BA35" s="1257"/>
      <c r="BB35" s="440"/>
      <c r="BC35" s="433"/>
      <c r="BD35" s="81"/>
      <c r="BE35" s="81"/>
      <c r="BF35" s="5"/>
      <c r="BG35"/>
      <c r="BH35"/>
      <c r="BI35"/>
      <c r="BJ35"/>
      <c r="BK35"/>
      <c r="BL35"/>
      <c r="BM35"/>
      <c r="BN35"/>
      <c r="BO35"/>
      <c r="DG35" s="1"/>
      <c r="DH35" s="1"/>
      <c r="DI35" s="1"/>
      <c r="DJ35" s="1"/>
      <c r="DK35" s="1"/>
      <c r="DL35" s="1"/>
      <c r="DM35" s="1"/>
      <c r="DN35" s="1"/>
      <c r="DO35" s="1"/>
      <c r="DP35" s="1"/>
    </row>
    <row r="36" spans="1:120" ht="14.45" customHeight="1">
      <c r="A36" s="1349"/>
      <c r="B36" s="1349"/>
      <c r="C36" s="1059"/>
      <c r="D36" s="1060"/>
      <c r="E36" s="1060"/>
      <c r="F36" s="1368"/>
      <c r="G36" s="1470"/>
      <c r="H36" s="1097" t="s">
        <v>231</v>
      </c>
      <c r="I36" s="1097"/>
      <c r="J36" s="1097"/>
      <c r="K36" s="1097"/>
      <c r="L36" s="1097"/>
      <c r="M36" s="1097"/>
      <c r="N36" s="1097"/>
      <c r="O36" s="1097"/>
      <c r="P36" s="1471" t="str">
        <f>障害者控除!F17</f>
        <v/>
      </c>
      <c r="Q36" s="1471"/>
      <c r="R36" s="1471"/>
      <c r="S36" s="1471"/>
      <c r="T36" s="1471"/>
      <c r="U36" s="1471"/>
      <c r="V36" s="1471"/>
      <c r="W36" s="1471"/>
      <c r="X36" s="1471" t="str">
        <f>障害者控除!F14</f>
        <v>　</v>
      </c>
      <c r="Y36" s="1471"/>
      <c r="Z36" s="1471"/>
      <c r="AA36" s="1471"/>
      <c r="AB36" s="1471"/>
      <c r="AC36" s="1471"/>
      <c r="AD36" s="1471"/>
      <c r="AE36" s="1471"/>
      <c r="AF36" s="1471"/>
      <c r="AG36" s="1472"/>
      <c r="AH36" s="433"/>
      <c r="AI36" s="1462"/>
      <c r="AJ36" s="1463"/>
      <c r="AK36" s="1447" t="s">
        <v>48</v>
      </c>
      <c r="AL36" s="1448"/>
      <c r="AM36" s="1313" t="s">
        <v>158</v>
      </c>
      <c r="AN36" s="1313"/>
      <c r="AO36" s="1313"/>
      <c r="AP36" s="1313"/>
      <c r="AQ36" s="1313"/>
      <c r="AR36" s="1314"/>
      <c r="AS36" s="1450" t="s">
        <v>56</v>
      </c>
      <c r="AT36" s="1451"/>
      <c r="AU36" s="1452"/>
      <c r="AV36" s="1403">
        <f>計算用資料!J26</f>
        <v>0</v>
      </c>
      <c r="AW36" s="1257"/>
      <c r="AX36" s="1257"/>
      <c r="AY36" s="1257"/>
      <c r="AZ36" s="1257"/>
      <c r="BA36" s="1257"/>
      <c r="BB36" s="440"/>
      <c r="BC36" s="433"/>
      <c r="BD36" s="81"/>
      <c r="BE36" s="81"/>
      <c r="BF36" s="5"/>
      <c r="BG36"/>
      <c r="BH36"/>
      <c r="BI36"/>
      <c r="BJ36"/>
      <c r="BK36"/>
      <c r="BL36"/>
      <c r="BM36"/>
      <c r="BN36"/>
      <c r="BO36"/>
      <c r="DG36" s="1"/>
      <c r="DH36" s="1"/>
      <c r="DI36" s="1"/>
      <c r="DJ36" s="1"/>
      <c r="DK36" s="1"/>
      <c r="DL36" s="1"/>
      <c r="DM36" s="1"/>
      <c r="DN36" s="1"/>
      <c r="DO36" s="1"/>
      <c r="DP36" s="1"/>
    </row>
    <row r="37" spans="1:120" ht="14.45" customHeight="1">
      <c r="A37" s="1349"/>
      <c r="B37" s="1349"/>
      <c r="C37" s="1059"/>
      <c r="D37" s="1060"/>
      <c r="E37" s="1060"/>
      <c r="F37" s="1368"/>
      <c r="G37" s="1468">
        <v>2</v>
      </c>
      <c r="H37" s="1370" t="s">
        <v>21</v>
      </c>
      <c r="I37" s="1370"/>
      <c r="J37" s="1370"/>
      <c r="K37" s="1370"/>
      <c r="L37" s="1371">
        <f>障害者控除!D20</f>
        <v>0</v>
      </c>
      <c r="M37" s="1371"/>
      <c r="N37" s="1371"/>
      <c r="O37" s="1371"/>
      <c r="P37" s="1371"/>
      <c r="Q37" s="1371"/>
      <c r="R37" s="1371"/>
      <c r="S37" s="1371"/>
      <c r="T37" s="1371"/>
      <c r="U37" s="1371"/>
      <c r="V37" s="1371"/>
      <c r="W37" s="1371"/>
      <c r="X37" s="1109" t="s">
        <v>77</v>
      </c>
      <c r="Y37" s="1109"/>
      <c r="Z37" s="1109"/>
      <c r="AA37" s="1506" t="s">
        <v>151</v>
      </c>
      <c r="AB37" s="1506"/>
      <c r="AC37" s="1506"/>
      <c r="AD37" s="1506"/>
      <c r="AE37" s="1506"/>
      <c r="AF37" s="1506"/>
      <c r="AG37" s="1507"/>
      <c r="AH37" s="433"/>
      <c r="AI37" s="1462"/>
      <c r="AJ37" s="1463"/>
      <c r="AK37" s="1447"/>
      <c r="AL37" s="1448"/>
      <c r="AM37" s="1310" t="s">
        <v>159</v>
      </c>
      <c r="AN37" s="1310"/>
      <c r="AO37" s="1310"/>
      <c r="AP37" s="1310"/>
      <c r="AQ37" s="1310"/>
      <c r="AR37" s="1311"/>
      <c r="AS37" s="1322" t="s">
        <v>162</v>
      </c>
      <c r="AT37" s="1236"/>
      <c r="AU37" s="1238"/>
      <c r="AV37" s="1403">
        <f>営業等!P34</f>
        <v>0</v>
      </c>
      <c r="AW37" s="1257"/>
      <c r="AX37" s="1257"/>
      <c r="AY37" s="1257"/>
      <c r="AZ37" s="1257"/>
      <c r="BA37" s="1257"/>
      <c r="BB37" s="440"/>
      <c r="BC37" s="433"/>
      <c r="BD37" s="81"/>
      <c r="BE37" s="81"/>
      <c r="BF37" s="5"/>
      <c r="BG37"/>
      <c r="BH37"/>
      <c r="BI37"/>
      <c r="BJ37"/>
      <c r="BK37"/>
      <c r="BL37"/>
      <c r="BM37"/>
      <c r="BN37"/>
      <c r="BO37"/>
      <c r="DG37" s="1"/>
      <c r="DH37" s="1"/>
      <c r="DI37" s="1"/>
      <c r="DJ37" s="1"/>
      <c r="DK37" s="1"/>
      <c r="DL37" s="1"/>
      <c r="DM37" s="1"/>
      <c r="DN37" s="1"/>
      <c r="DO37" s="1"/>
      <c r="DP37" s="1"/>
    </row>
    <row r="38" spans="1:120" ht="14.45" customHeight="1">
      <c r="A38" s="1349"/>
      <c r="B38" s="1349"/>
      <c r="C38" s="1059"/>
      <c r="D38" s="1060"/>
      <c r="E38" s="1060"/>
      <c r="F38" s="1368"/>
      <c r="G38" s="1469"/>
      <c r="H38" s="1110" t="s">
        <v>4</v>
      </c>
      <c r="I38" s="1110"/>
      <c r="J38" s="1110"/>
      <c r="K38" s="1110"/>
      <c r="L38" s="1515">
        <f>障害者控除!D21</f>
        <v>0</v>
      </c>
      <c r="M38" s="1515"/>
      <c r="N38" s="1515"/>
      <c r="O38" s="1515"/>
      <c r="P38" s="1515"/>
      <c r="Q38" s="1515"/>
      <c r="R38" s="1515"/>
      <c r="S38" s="1515"/>
      <c r="T38" s="1515"/>
      <c r="U38" s="1515"/>
      <c r="V38" s="1515"/>
      <c r="W38" s="1515"/>
      <c r="X38" s="1110"/>
      <c r="Y38" s="1110"/>
      <c r="Z38" s="1110"/>
      <c r="AA38" s="1320" t="str">
        <f>障害者控除!C24</f>
        <v>　</v>
      </c>
      <c r="AB38" s="1320"/>
      <c r="AC38" s="1320"/>
      <c r="AD38" s="1320"/>
      <c r="AE38" s="1320"/>
      <c r="AF38" s="1320"/>
      <c r="AG38" s="1321"/>
      <c r="AH38" s="433"/>
      <c r="AI38" s="1462"/>
      <c r="AJ38" s="1463"/>
      <c r="AK38" s="1447"/>
      <c r="AL38" s="1448"/>
      <c r="AM38" s="1310" t="s">
        <v>160</v>
      </c>
      <c r="AN38" s="1310"/>
      <c r="AO38" s="1310"/>
      <c r="AP38" s="1310"/>
      <c r="AQ38" s="1310"/>
      <c r="AR38" s="1311"/>
      <c r="AS38" s="1322" t="s">
        <v>163</v>
      </c>
      <c r="AT38" s="1236"/>
      <c r="AU38" s="1238"/>
      <c r="AV38" s="1403">
        <f>営業等!P39</f>
        <v>0</v>
      </c>
      <c r="AW38" s="1257"/>
      <c r="AX38" s="1257"/>
      <c r="AY38" s="1257"/>
      <c r="AZ38" s="1257"/>
      <c r="BA38" s="1257"/>
      <c r="BB38" s="440"/>
      <c r="BC38" s="433"/>
      <c r="BD38" s="81"/>
      <c r="BE38" s="81"/>
      <c r="BF38" s="5"/>
      <c r="BG38"/>
      <c r="BH38"/>
      <c r="BI38"/>
      <c r="BJ38"/>
      <c r="BK38"/>
      <c r="BL38"/>
      <c r="BM38"/>
      <c r="BN38"/>
      <c r="BO38"/>
      <c r="DG38" s="1"/>
      <c r="DH38" s="1"/>
      <c r="DI38" s="1"/>
      <c r="DJ38" s="1"/>
      <c r="DK38" s="1"/>
      <c r="DL38" s="1"/>
      <c r="DM38" s="1"/>
      <c r="DN38" s="1"/>
      <c r="DO38" s="1"/>
      <c r="DP38" s="1"/>
    </row>
    <row r="39" spans="1:120" ht="14.45" customHeight="1">
      <c r="A39" s="1349"/>
      <c r="B39" s="1349"/>
      <c r="C39" s="1062"/>
      <c r="D39" s="1063"/>
      <c r="E39" s="1063"/>
      <c r="F39" s="1369"/>
      <c r="G39" s="1470"/>
      <c r="H39" s="1097" t="s">
        <v>231</v>
      </c>
      <c r="I39" s="1097"/>
      <c r="J39" s="1097"/>
      <c r="K39" s="1097"/>
      <c r="L39" s="1097"/>
      <c r="M39" s="1097"/>
      <c r="N39" s="1097"/>
      <c r="O39" s="1097"/>
      <c r="P39" s="1471" t="str">
        <f>障害者控除!F24</f>
        <v/>
      </c>
      <c r="Q39" s="1471"/>
      <c r="R39" s="1471"/>
      <c r="S39" s="1471"/>
      <c r="T39" s="1471"/>
      <c r="U39" s="1471"/>
      <c r="V39" s="1471"/>
      <c r="W39" s="1471"/>
      <c r="X39" s="1471" t="str">
        <f>障害者控除!F21</f>
        <v>　</v>
      </c>
      <c r="Y39" s="1471"/>
      <c r="Z39" s="1471"/>
      <c r="AA39" s="1471"/>
      <c r="AB39" s="1471"/>
      <c r="AC39" s="1471"/>
      <c r="AD39" s="1471"/>
      <c r="AE39" s="1471"/>
      <c r="AF39" s="1471"/>
      <c r="AG39" s="1472"/>
      <c r="AH39" s="433"/>
      <c r="AI39" s="1462"/>
      <c r="AJ39" s="1463"/>
      <c r="AK39" s="1447"/>
      <c r="AL39" s="1448"/>
      <c r="AM39" s="1424" t="s">
        <v>161</v>
      </c>
      <c r="AN39" s="1424"/>
      <c r="AO39" s="1424"/>
      <c r="AP39" s="1424"/>
      <c r="AQ39" s="1424"/>
      <c r="AR39" s="1425"/>
      <c r="AS39" s="1322" t="s">
        <v>164</v>
      </c>
      <c r="AT39" s="1236"/>
      <c r="AU39" s="1238"/>
      <c r="AV39" s="1293">
        <f>計算用資料!E158</f>
        <v>0</v>
      </c>
      <c r="AW39" s="1294"/>
      <c r="AX39" s="1294"/>
      <c r="AY39" s="1294"/>
      <c r="AZ39" s="1294"/>
      <c r="BA39" s="1294"/>
      <c r="BB39" s="440"/>
      <c r="BC39" s="433"/>
      <c r="BD39" s="81"/>
      <c r="BE39" s="81"/>
      <c r="BF39" s="5"/>
      <c r="BG39"/>
      <c r="BH39"/>
      <c r="BI39"/>
      <c r="BJ39"/>
      <c r="BK39"/>
      <c r="BL39"/>
      <c r="BM39"/>
      <c r="BN39"/>
      <c r="BO39"/>
      <c r="DG39" s="1"/>
      <c r="DH39" s="1"/>
      <c r="DI39" s="1"/>
      <c r="DJ39" s="1"/>
      <c r="DK39" s="1"/>
      <c r="DL39" s="1"/>
      <c r="DM39" s="1"/>
      <c r="DN39" s="1"/>
      <c r="DO39" s="1"/>
      <c r="DP39" s="1"/>
    </row>
    <row r="40" spans="1:120" ht="14.45" customHeight="1">
      <c r="A40" s="1349"/>
      <c r="B40" s="1349"/>
      <c r="C40" s="1056" t="s">
        <v>905</v>
      </c>
      <c r="D40" s="1057"/>
      <c r="E40" s="1057"/>
      <c r="F40" s="1113"/>
      <c r="G40" s="1292" t="s">
        <v>2</v>
      </c>
      <c r="H40" s="1109"/>
      <c r="I40" s="1109"/>
      <c r="J40" s="1370" t="s">
        <v>141</v>
      </c>
      <c r="K40" s="1370"/>
      <c r="L40" s="1370"/>
      <c r="M40" s="1358">
        <f>配偶者・扶養!D7</f>
        <v>0</v>
      </c>
      <c r="N40" s="1358"/>
      <c r="O40" s="1358"/>
      <c r="P40" s="1358"/>
      <c r="Q40" s="1358"/>
      <c r="R40" s="1358"/>
      <c r="S40" s="1358"/>
      <c r="T40" s="1358"/>
      <c r="U40" s="1358"/>
      <c r="V40" s="1358"/>
      <c r="W40" s="1111" t="s">
        <v>528</v>
      </c>
      <c r="X40" s="1111"/>
      <c r="Y40" s="1095" t="s">
        <v>138</v>
      </c>
      <c r="Z40" s="1095"/>
      <c r="AA40" s="1095"/>
      <c r="AB40" s="1095"/>
      <c r="AC40" s="1095"/>
      <c r="AD40" s="1095" t="s">
        <v>139</v>
      </c>
      <c r="AE40" s="1095"/>
      <c r="AF40" s="1095" t="s">
        <v>140</v>
      </c>
      <c r="AG40" s="1100"/>
      <c r="AH40" s="433"/>
      <c r="AI40" s="1462"/>
      <c r="AJ40" s="1463"/>
      <c r="AK40" s="1309" t="s">
        <v>157</v>
      </c>
      <c r="AL40" s="1310"/>
      <c r="AM40" s="1310"/>
      <c r="AN40" s="1310"/>
      <c r="AO40" s="1310"/>
      <c r="AP40" s="1310"/>
      <c r="AQ40" s="1310"/>
      <c r="AR40" s="1311"/>
      <c r="AS40" s="1322" t="s">
        <v>429</v>
      </c>
      <c r="AT40" s="1236"/>
      <c r="AU40" s="1238"/>
      <c r="AV40" s="1403">
        <f>一時所得等!L22</f>
        <v>0</v>
      </c>
      <c r="AW40" s="1257"/>
      <c r="AX40" s="1257"/>
      <c r="AY40" s="1257"/>
      <c r="AZ40" s="1257"/>
      <c r="BA40" s="1257"/>
      <c r="BB40" s="440"/>
      <c r="BC40" s="433"/>
      <c r="BD40" s="81"/>
      <c r="BE40" s="81"/>
      <c r="BF40" s="5"/>
      <c r="BG40"/>
      <c r="BH40"/>
      <c r="BI40"/>
      <c r="BJ40"/>
      <c r="BK40"/>
      <c r="BL40"/>
      <c r="BM40"/>
      <c r="BN40"/>
      <c r="BO40"/>
      <c r="DG40" s="1"/>
      <c r="DH40" s="1"/>
      <c r="DI40" s="1"/>
      <c r="DJ40" s="1"/>
      <c r="DK40" s="1"/>
      <c r="DL40" s="1"/>
      <c r="DM40" s="1"/>
      <c r="DN40" s="1"/>
      <c r="DO40" s="1"/>
      <c r="DP40" s="1"/>
    </row>
    <row r="41" spans="1:120" ht="14.45" customHeight="1">
      <c r="A41" s="1349"/>
      <c r="B41" s="1349"/>
      <c r="C41" s="1059"/>
      <c r="D41" s="1060"/>
      <c r="E41" s="1060"/>
      <c r="F41" s="1368"/>
      <c r="G41" s="1643"/>
      <c r="H41" s="1110"/>
      <c r="I41" s="1110"/>
      <c r="J41" s="1110" t="s">
        <v>4</v>
      </c>
      <c r="K41" s="1110"/>
      <c r="L41" s="1110"/>
      <c r="M41" s="1357">
        <f>配偶者・扶養!D8</f>
        <v>0</v>
      </c>
      <c r="N41" s="1357"/>
      <c r="O41" s="1357"/>
      <c r="P41" s="1357"/>
      <c r="Q41" s="1357"/>
      <c r="R41" s="1357"/>
      <c r="S41" s="1357"/>
      <c r="T41" s="1357"/>
      <c r="U41" s="1357"/>
      <c r="V41" s="1357"/>
      <c r="W41" s="1112"/>
      <c r="X41" s="1112"/>
      <c r="Y41" s="1110" t="str">
        <f>計算用資料!D149</f>
        <v/>
      </c>
      <c r="Z41" s="1110"/>
      <c r="AA41" s="1515">
        <f>配偶者・扶養!E10</f>
        <v>0</v>
      </c>
      <c r="AB41" s="1515"/>
      <c r="AC41" s="1515"/>
      <c r="AD41" s="1515">
        <f>配偶者・扶養!F10</f>
        <v>0</v>
      </c>
      <c r="AE41" s="1515"/>
      <c r="AF41" s="1515">
        <f>配偶者・扶養!G10</f>
        <v>0</v>
      </c>
      <c r="AG41" s="1636"/>
      <c r="AH41" s="433"/>
      <c r="AI41" s="1464"/>
      <c r="AJ41" s="1465"/>
      <c r="AK41" s="1633" t="s">
        <v>57</v>
      </c>
      <c r="AL41" s="1634"/>
      <c r="AM41" s="1634"/>
      <c r="AN41" s="1634"/>
      <c r="AO41" s="1634"/>
      <c r="AP41" s="1634"/>
      <c r="AQ41" s="1634"/>
      <c r="AR41" s="1635"/>
      <c r="AS41" s="1419" t="s">
        <v>430</v>
      </c>
      <c r="AT41" s="1024"/>
      <c r="AU41" s="1025"/>
      <c r="AV41" s="1629">
        <f>計算用資料!F158</f>
        <v>0</v>
      </c>
      <c r="AW41" s="1630"/>
      <c r="AX41" s="1630"/>
      <c r="AY41" s="1630"/>
      <c r="AZ41" s="1630"/>
      <c r="BA41" s="1630"/>
      <c r="BB41" s="448"/>
      <c r="BC41" s="462"/>
      <c r="BD41" s="81"/>
      <c r="BE41" s="81"/>
      <c r="BF41" s="5"/>
      <c r="BG41"/>
      <c r="BH41"/>
      <c r="BI41"/>
      <c r="BJ41"/>
      <c r="BK41"/>
      <c r="BL41"/>
      <c r="BM41"/>
      <c r="BN41"/>
      <c r="BO41"/>
      <c r="DG41" s="1"/>
      <c r="DH41" s="1"/>
      <c r="DI41" s="1"/>
      <c r="DJ41" s="1"/>
      <c r="DK41" s="1"/>
      <c r="DL41" s="1"/>
      <c r="DM41" s="1"/>
      <c r="DN41" s="1"/>
      <c r="DO41" s="1"/>
      <c r="DP41" s="1"/>
    </row>
    <row r="42" spans="1:120" ht="14.45" customHeight="1">
      <c r="A42" s="1349"/>
      <c r="B42" s="1349"/>
      <c r="C42" s="1059"/>
      <c r="D42" s="1060"/>
      <c r="E42" s="1060"/>
      <c r="F42" s="1368"/>
      <c r="G42" s="1643"/>
      <c r="H42" s="1110"/>
      <c r="I42" s="1110"/>
      <c r="J42" s="1110"/>
      <c r="K42" s="1110"/>
      <c r="L42" s="1110"/>
      <c r="M42" s="1357"/>
      <c r="N42" s="1357"/>
      <c r="O42" s="1357"/>
      <c r="P42" s="1357"/>
      <c r="Q42" s="1357"/>
      <c r="R42" s="1357"/>
      <c r="S42" s="1357"/>
      <c r="T42" s="1357"/>
      <c r="U42" s="1357"/>
      <c r="V42" s="1357"/>
      <c r="W42" s="1112" t="s">
        <v>523</v>
      </c>
      <c r="X42" s="1112"/>
      <c r="Y42" s="1112"/>
      <c r="Z42" s="1112"/>
      <c r="AA42" s="1112"/>
      <c r="AB42" s="1112"/>
      <c r="AC42" s="1627" t="str">
        <f>計算用資料!H55</f>
        <v/>
      </c>
      <c r="AD42" s="1628"/>
      <c r="AE42" s="1628"/>
      <c r="AF42" s="1628"/>
      <c r="AG42" s="463" t="s">
        <v>67</v>
      </c>
      <c r="AH42" s="433"/>
      <c r="AI42" s="1056">
        <v>4</v>
      </c>
      <c r="AJ42" s="1113"/>
      <c r="AK42" s="1444" t="s">
        <v>59</v>
      </c>
      <c r="AL42" s="1445"/>
      <c r="AM42" s="1445"/>
      <c r="AN42" s="1445"/>
      <c r="AO42" s="1445"/>
      <c r="AP42" s="1445"/>
      <c r="AQ42" s="1445"/>
      <c r="AR42" s="1446"/>
      <c r="AS42" s="1407" t="s">
        <v>431</v>
      </c>
      <c r="AT42" s="1408"/>
      <c r="AU42" s="1409"/>
      <c r="AV42" s="1631">
        <f>T20</f>
        <v>0</v>
      </c>
      <c r="AW42" s="1632"/>
      <c r="AX42" s="1632"/>
      <c r="AY42" s="1632"/>
      <c r="AZ42" s="1632"/>
      <c r="BA42" s="1632"/>
      <c r="BB42" s="437" t="s">
        <v>67</v>
      </c>
      <c r="BC42" s="433"/>
      <c r="BD42" s="81"/>
      <c r="BE42" s="81"/>
      <c r="BF42" s="5"/>
      <c r="BG42"/>
      <c r="BH42"/>
      <c r="BI42"/>
      <c r="BJ42"/>
      <c r="BK42"/>
      <c r="BL42"/>
      <c r="BM42"/>
      <c r="BN42"/>
      <c r="BO42"/>
      <c r="DG42" s="1"/>
      <c r="DH42" s="1"/>
      <c r="DI42" s="1"/>
      <c r="DJ42" s="1"/>
      <c r="DK42" s="1"/>
      <c r="DL42" s="1"/>
      <c r="DM42" s="1"/>
      <c r="DN42" s="1"/>
      <c r="DO42" s="1"/>
      <c r="DP42" s="1"/>
    </row>
    <row r="43" spans="1:120" ht="14.45" customHeight="1">
      <c r="A43" s="1349"/>
      <c r="B43" s="1349"/>
      <c r="C43" s="1062"/>
      <c r="D43" s="1063"/>
      <c r="E43" s="1063"/>
      <c r="F43" s="1369"/>
      <c r="G43" s="1245" t="s">
        <v>5</v>
      </c>
      <c r="H43" s="1246"/>
      <c r="I43" s="1488"/>
      <c r="J43" s="1338" t="str">
        <f>計算用資料!C149</f>
        <v/>
      </c>
      <c r="K43" s="1339"/>
      <c r="L43" s="1339"/>
      <c r="M43" s="1339"/>
      <c r="N43" s="1339"/>
      <c r="O43" s="1339"/>
      <c r="P43" s="1339"/>
      <c r="Q43" s="1339"/>
      <c r="R43" s="1339"/>
      <c r="S43" s="1514"/>
      <c r="T43" s="1486" t="str">
        <f>配偶者・扶養!J7</f>
        <v>□</v>
      </c>
      <c r="U43" s="1487"/>
      <c r="V43" s="1489" t="s">
        <v>522</v>
      </c>
      <c r="W43" s="1489"/>
      <c r="X43" s="1489"/>
      <c r="Y43" s="1489"/>
      <c r="Z43" s="1489"/>
      <c r="AA43" s="1489"/>
      <c r="AB43" s="1489"/>
      <c r="AC43" s="1489"/>
      <c r="AD43" s="1489"/>
      <c r="AE43" s="1489"/>
      <c r="AF43" s="1489"/>
      <c r="AG43" s="1490"/>
      <c r="AH43" s="433"/>
      <c r="AI43" s="1059"/>
      <c r="AJ43" s="1368"/>
      <c r="AK43" s="1312" t="s">
        <v>902</v>
      </c>
      <c r="AL43" s="1313"/>
      <c r="AM43" s="1313"/>
      <c r="AN43" s="1313"/>
      <c r="AO43" s="1313"/>
      <c r="AP43" s="1313"/>
      <c r="AQ43" s="1313"/>
      <c r="AR43" s="1314"/>
      <c r="AS43" s="1322" t="s">
        <v>432</v>
      </c>
      <c r="AT43" s="1236"/>
      <c r="AU43" s="1238"/>
      <c r="AV43" s="1293">
        <f>T21</f>
        <v>0</v>
      </c>
      <c r="AW43" s="1294"/>
      <c r="AX43" s="1294"/>
      <c r="AY43" s="1294"/>
      <c r="AZ43" s="1294"/>
      <c r="BA43" s="1294"/>
      <c r="BB43" s="440"/>
      <c r="BC43" s="433"/>
      <c r="BD43" s="81"/>
      <c r="BE43" s="81"/>
      <c r="BF43" s="5"/>
      <c r="BG43"/>
      <c r="BH43"/>
      <c r="BI43"/>
      <c r="BJ43"/>
      <c r="BK43"/>
      <c r="BL43"/>
      <c r="BM43"/>
      <c r="BN43"/>
      <c r="BO43"/>
      <c r="DG43" s="1"/>
      <c r="DH43" s="1"/>
      <c r="DI43" s="1"/>
      <c r="DJ43" s="1"/>
      <c r="DK43" s="1"/>
      <c r="DL43" s="1"/>
      <c r="DM43" s="1"/>
      <c r="DN43" s="1"/>
      <c r="DO43" s="1"/>
      <c r="DP43" s="1"/>
    </row>
    <row r="44" spans="1:120" ht="14.45" customHeight="1">
      <c r="A44" s="1349"/>
      <c r="B44" s="1349"/>
      <c r="C44" s="1350" t="s">
        <v>906</v>
      </c>
      <c r="D44" s="1351"/>
      <c r="E44" s="1378">
        <v>1</v>
      </c>
      <c r="F44" s="464" t="s">
        <v>143</v>
      </c>
      <c r="G44" s="1358">
        <f>配偶者・扶養!D19</f>
        <v>0</v>
      </c>
      <c r="H44" s="1358"/>
      <c r="I44" s="1358"/>
      <c r="J44" s="1358"/>
      <c r="K44" s="1358"/>
      <c r="L44" s="1358"/>
      <c r="M44" s="1358"/>
      <c r="N44" s="1358"/>
      <c r="O44" s="1358"/>
      <c r="P44" s="1109" t="s">
        <v>23</v>
      </c>
      <c r="Q44" s="1109"/>
      <c r="R44" s="1109" t="s">
        <v>138</v>
      </c>
      <c r="S44" s="1109"/>
      <c r="T44" s="1109"/>
      <c r="U44" s="1109"/>
      <c r="V44" s="1109" t="s">
        <v>144</v>
      </c>
      <c r="W44" s="1109"/>
      <c r="X44" s="1109" t="s">
        <v>140</v>
      </c>
      <c r="Y44" s="1109"/>
      <c r="Z44" s="1111" t="s">
        <v>78</v>
      </c>
      <c r="AA44" s="1111"/>
      <c r="AB44" s="1341" t="str">
        <f>配偶者・扶養!D21</f>
        <v>　</v>
      </c>
      <c r="AC44" s="1341"/>
      <c r="AD44" s="1109" t="s">
        <v>79</v>
      </c>
      <c r="AE44" s="1109"/>
      <c r="AF44" s="1318">
        <f>配偶者・扶養!M20</f>
        <v>0</v>
      </c>
      <c r="AG44" s="1319"/>
      <c r="AH44" s="433"/>
      <c r="AI44" s="1462" t="s">
        <v>526</v>
      </c>
      <c r="AJ44" s="1463"/>
      <c r="AK44" s="1309" t="s">
        <v>60</v>
      </c>
      <c r="AL44" s="1310"/>
      <c r="AM44" s="1310"/>
      <c r="AN44" s="1310"/>
      <c r="AO44" s="1310"/>
      <c r="AP44" s="1310"/>
      <c r="AQ44" s="1310"/>
      <c r="AR44" s="1311"/>
      <c r="AS44" s="1322" t="s">
        <v>433</v>
      </c>
      <c r="AT44" s="1236"/>
      <c r="AU44" s="1238"/>
      <c r="AV44" s="1293">
        <f>計算用資料!K46</f>
        <v>0</v>
      </c>
      <c r="AW44" s="1294"/>
      <c r="AX44" s="1294"/>
      <c r="AY44" s="1294"/>
      <c r="AZ44" s="1294"/>
      <c r="BA44" s="1294"/>
      <c r="BB44" s="440"/>
      <c r="BC44" s="433"/>
      <c r="BD44" s="81"/>
      <c r="BE44" s="82"/>
      <c r="BF44" s="7"/>
      <c r="BG44"/>
      <c r="BH44"/>
      <c r="BI44"/>
      <c r="BJ44"/>
      <c r="BK44"/>
      <c r="BL44"/>
      <c r="BM44"/>
      <c r="BN44"/>
      <c r="BO44"/>
      <c r="DG44" s="1"/>
      <c r="DH44" s="1"/>
      <c r="DI44" s="1"/>
      <c r="DJ44" s="1"/>
      <c r="DK44" s="1"/>
      <c r="DL44" s="1"/>
      <c r="DM44" s="1"/>
      <c r="DN44" s="1"/>
      <c r="DO44" s="1"/>
      <c r="DP44" s="1"/>
    </row>
    <row r="45" spans="1:120" ht="14.45" customHeight="1">
      <c r="A45" s="1349"/>
      <c r="B45" s="1349"/>
      <c r="C45" s="1352"/>
      <c r="D45" s="1353"/>
      <c r="E45" s="1379"/>
      <c r="F45" s="465" t="s">
        <v>80</v>
      </c>
      <c r="G45" s="1357">
        <f>配偶者・扶養!D20</f>
        <v>0</v>
      </c>
      <c r="H45" s="1357"/>
      <c r="I45" s="1357"/>
      <c r="J45" s="1357"/>
      <c r="K45" s="1357"/>
      <c r="L45" s="1357"/>
      <c r="M45" s="1357"/>
      <c r="N45" s="1357"/>
      <c r="O45" s="1357"/>
      <c r="P45" s="1110"/>
      <c r="Q45" s="1110"/>
      <c r="R45" s="1108" t="str">
        <f>計算用資料!D152</f>
        <v/>
      </c>
      <c r="S45" s="1108"/>
      <c r="T45" s="1108">
        <f>配偶者・扶養!J20</f>
        <v>0</v>
      </c>
      <c r="U45" s="1108"/>
      <c r="V45" s="1108">
        <f>配偶者・扶養!K20</f>
        <v>0</v>
      </c>
      <c r="W45" s="1108"/>
      <c r="X45" s="1108">
        <f>配偶者・扶養!L20</f>
        <v>0</v>
      </c>
      <c r="Y45" s="1108"/>
      <c r="Z45" s="1112"/>
      <c r="AA45" s="1112"/>
      <c r="AB45" s="1342"/>
      <c r="AC45" s="1342"/>
      <c r="AD45" s="1110"/>
      <c r="AE45" s="1110"/>
      <c r="AF45" s="1320"/>
      <c r="AG45" s="1321"/>
      <c r="AH45" s="433"/>
      <c r="AI45" s="1462"/>
      <c r="AJ45" s="1463"/>
      <c r="AK45" s="1309" t="s">
        <v>61</v>
      </c>
      <c r="AL45" s="1310"/>
      <c r="AM45" s="1310"/>
      <c r="AN45" s="1310"/>
      <c r="AO45" s="1310"/>
      <c r="AP45" s="1310"/>
      <c r="AQ45" s="1310"/>
      <c r="AR45" s="1311"/>
      <c r="AS45" s="1322" t="s">
        <v>146</v>
      </c>
      <c r="AT45" s="1236"/>
      <c r="AU45" s="1238"/>
      <c r="AV45" s="1293">
        <f>計算用資料!H50</f>
        <v>0</v>
      </c>
      <c r="AW45" s="1294"/>
      <c r="AX45" s="1294"/>
      <c r="AY45" s="1294"/>
      <c r="AZ45" s="1294"/>
      <c r="BA45" s="1294"/>
      <c r="BB45" s="440"/>
      <c r="BC45" s="433"/>
      <c r="BD45" s="81"/>
      <c r="BE45" s="81"/>
      <c r="BF45" s="5"/>
      <c r="BG45"/>
      <c r="BH45"/>
      <c r="BI45"/>
      <c r="BJ45"/>
      <c r="BK45"/>
      <c r="BL45"/>
      <c r="BM45"/>
      <c r="BN45"/>
      <c r="BO45"/>
      <c r="DG45" s="1"/>
      <c r="DH45" s="1"/>
      <c r="DI45" s="1"/>
      <c r="DJ45" s="1"/>
      <c r="DK45" s="1"/>
      <c r="DL45" s="1"/>
      <c r="DM45" s="1"/>
      <c r="DN45" s="1"/>
      <c r="DO45" s="1"/>
      <c r="DP45" s="1"/>
    </row>
    <row r="46" spans="1:120" ht="14.45" customHeight="1">
      <c r="A46" s="1349"/>
      <c r="B46" s="1349"/>
      <c r="C46" s="1352"/>
      <c r="D46" s="1353"/>
      <c r="E46" s="1380"/>
      <c r="F46" s="1096" t="s">
        <v>5</v>
      </c>
      <c r="G46" s="1097"/>
      <c r="H46" s="1097"/>
      <c r="I46" s="1097"/>
      <c r="J46" s="1338" t="str">
        <f>計算用資料!C152</f>
        <v/>
      </c>
      <c r="K46" s="1339"/>
      <c r="L46" s="1339"/>
      <c r="M46" s="1339"/>
      <c r="N46" s="1339"/>
      <c r="O46" s="1339"/>
      <c r="P46" s="1339"/>
      <c r="Q46" s="1339"/>
      <c r="R46" s="1339"/>
      <c r="S46" s="1339"/>
      <c r="T46" s="1339"/>
      <c r="U46" s="1339"/>
      <c r="V46" s="1339"/>
      <c r="W46" s="1339"/>
      <c r="X46" s="1339"/>
      <c r="Y46" s="1514"/>
      <c r="Z46" s="1306" t="s">
        <v>81</v>
      </c>
      <c r="AA46" s="1306"/>
      <c r="AB46" s="1306"/>
      <c r="AC46" s="1306"/>
      <c r="AD46" s="1307">
        <f>計算用資料!K77</f>
        <v>0</v>
      </c>
      <c r="AE46" s="1307"/>
      <c r="AF46" s="1307"/>
      <c r="AG46" s="1308"/>
      <c r="AH46" s="433"/>
      <c r="AI46" s="1462"/>
      <c r="AJ46" s="1463"/>
      <c r="AK46" s="1312" t="s">
        <v>921</v>
      </c>
      <c r="AL46" s="1313"/>
      <c r="AM46" s="1313"/>
      <c r="AN46" s="1313"/>
      <c r="AO46" s="1313"/>
      <c r="AP46" s="1313"/>
      <c r="AQ46" s="1313"/>
      <c r="AR46" s="1314"/>
      <c r="AS46" s="1323" t="s">
        <v>434</v>
      </c>
      <c r="AT46" s="1324"/>
      <c r="AU46" s="1325"/>
      <c r="AV46" s="1293">
        <f>計算用資料!C115</f>
        <v>0</v>
      </c>
      <c r="AW46" s="1294"/>
      <c r="AX46" s="1294"/>
      <c r="AY46" s="1294"/>
      <c r="AZ46" s="1294"/>
      <c r="BA46" s="1294"/>
      <c r="BB46" s="466"/>
      <c r="BC46" s="433"/>
      <c r="BD46" s="81"/>
      <c r="BE46" s="81"/>
      <c r="BF46" s="5"/>
      <c r="BG46"/>
      <c r="BH46"/>
      <c r="BI46"/>
      <c r="BJ46"/>
      <c r="BK46"/>
      <c r="BL46"/>
      <c r="BM46"/>
      <c r="BN46"/>
      <c r="BO46"/>
      <c r="DG46" s="1"/>
      <c r="DH46" s="1"/>
      <c r="DI46" s="1"/>
      <c r="DJ46" s="1"/>
      <c r="DK46" s="1"/>
      <c r="DL46" s="1"/>
      <c r="DM46" s="1"/>
      <c r="DN46" s="1"/>
      <c r="DO46" s="1"/>
      <c r="DP46" s="1"/>
    </row>
    <row r="47" spans="1:120" ht="14.45" customHeight="1">
      <c r="A47" s="1349"/>
      <c r="B47" s="1349"/>
      <c r="C47" s="1352"/>
      <c r="D47" s="1353"/>
      <c r="E47" s="1378">
        <v>2</v>
      </c>
      <c r="F47" s="464" t="s">
        <v>143</v>
      </c>
      <c r="G47" s="1358">
        <f>配偶者・扶養!D24</f>
        <v>0</v>
      </c>
      <c r="H47" s="1358"/>
      <c r="I47" s="1358"/>
      <c r="J47" s="1358"/>
      <c r="K47" s="1358"/>
      <c r="L47" s="1358"/>
      <c r="M47" s="1358"/>
      <c r="N47" s="1358"/>
      <c r="O47" s="1358"/>
      <c r="P47" s="1109" t="s">
        <v>3</v>
      </c>
      <c r="Q47" s="1109"/>
      <c r="R47" s="1109" t="s">
        <v>138</v>
      </c>
      <c r="S47" s="1109"/>
      <c r="T47" s="1109"/>
      <c r="U47" s="1109"/>
      <c r="V47" s="1109" t="s">
        <v>144</v>
      </c>
      <c r="W47" s="1109"/>
      <c r="X47" s="1109" t="s">
        <v>140</v>
      </c>
      <c r="Y47" s="1109"/>
      <c r="Z47" s="1111" t="s">
        <v>529</v>
      </c>
      <c r="AA47" s="1111"/>
      <c r="AB47" s="1341" t="str">
        <f>配偶者・扶養!D26</f>
        <v>　</v>
      </c>
      <c r="AC47" s="1341"/>
      <c r="AD47" s="1109" t="s">
        <v>79</v>
      </c>
      <c r="AE47" s="1109"/>
      <c r="AF47" s="1318">
        <f>配偶者・扶養!M25</f>
        <v>0</v>
      </c>
      <c r="AG47" s="1319"/>
      <c r="AH47" s="433"/>
      <c r="AI47" s="1462"/>
      <c r="AJ47" s="1463"/>
      <c r="AK47" s="1309" t="s">
        <v>147</v>
      </c>
      <c r="AL47" s="1310"/>
      <c r="AM47" s="1310"/>
      <c r="AN47" s="1310"/>
      <c r="AO47" s="1310"/>
      <c r="AP47" s="1310"/>
      <c r="AQ47" s="1310"/>
      <c r="AR47" s="1311"/>
      <c r="AS47" s="1322" t="s">
        <v>435</v>
      </c>
      <c r="AT47" s="1236"/>
      <c r="AU47" s="1238"/>
      <c r="AV47" s="1293">
        <f>計算用資料!D117</f>
        <v>0</v>
      </c>
      <c r="AW47" s="1294"/>
      <c r="AX47" s="1294"/>
      <c r="AY47" s="1294"/>
      <c r="AZ47" s="1294"/>
      <c r="BA47" s="1294"/>
      <c r="BB47" s="466"/>
      <c r="BC47" s="433"/>
      <c r="BD47" s="81"/>
      <c r="BE47" s="82"/>
      <c r="BF47" s="7"/>
      <c r="BG47"/>
      <c r="BH47"/>
      <c r="BI47"/>
      <c r="BJ47"/>
      <c r="BK47"/>
      <c r="BL47"/>
      <c r="BM47"/>
      <c r="BN47"/>
      <c r="BO47"/>
      <c r="DG47" s="1"/>
      <c r="DH47" s="1"/>
      <c r="DI47" s="1"/>
      <c r="DJ47" s="1"/>
      <c r="DK47" s="1"/>
      <c r="DL47" s="1"/>
      <c r="DM47" s="1"/>
      <c r="DN47" s="1"/>
      <c r="DO47" s="1"/>
      <c r="DP47" s="1"/>
    </row>
    <row r="48" spans="1:120" ht="14.45" customHeight="1">
      <c r="A48" s="1349"/>
      <c r="B48" s="1349"/>
      <c r="C48" s="1352"/>
      <c r="D48" s="1353"/>
      <c r="E48" s="1379"/>
      <c r="F48" s="465" t="s">
        <v>80</v>
      </c>
      <c r="G48" s="1357">
        <f>配偶者・扶養!D25</f>
        <v>0</v>
      </c>
      <c r="H48" s="1357"/>
      <c r="I48" s="1357"/>
      <c r="J48" s="1357"/>
      <c r="K48" s="1357"/>
      <c r="L48" s="1357"/>
      <c r="M48" s="1357"/>
      <c r="N48" s="1357"/>
      <c r="O48" s="1357"/>
      <c r="P48" s="1110"/>
      <c r="Q48" s="1110"/>
      <c r="R48" s="1108" t="str">
        <f>計算用資料!F152</f>
        <v/>
      </c>
      <c r="S48" s="1108"/>
      <c r="T48" s="1108">
        <f>配偶者・扶養!J25</f>
        <v>0</v>
      </c>
      <c r="U48" s="1108"/>
      <c r="V48" s="1108">
        <f>配偶者・扶養!K25</f>
        <v>0</v>
      </c>
      <c r="W48" s="1108"/>
      <c r="X48" s="1108">
        <f>配偶者・扶養!L25</f>
        <v>0</v>
      </c>
      <c r="Y48" s="1108"/>
      <c r="Z48" s="1112"/>
      <c r="AA48" s="1112"/>
      <c r="AB48" s="1342"/>
      <c r="AC48" s="1342"/>
      <c r="AD48" s="1110"/>
      <c r="AE48" s="1110"/>
      <c r="AF48" s="1320"/>
      <c r="AG48" s="1321"/>
      <c r="AH48" s="433"/>
      <c r="AI48" s="1462"/>
      <c r="AJ48" s="1463"/>
      <c r="AK48" s="1309" t="s">
        <v>148</v>
      </c>
      <c r="AL48" s="1310"/>
      <c r="AM48" s="1310"/>
      <c r="AN48" s="1310"/>
      <c r="AO48" s="1310"/>
      <c r="AP48" s="1310"/>
      <c r="AQ48" s="1310"/>
      <c r="AR48" s="1311"/>
      <c r="AS48" s="1322" t="s">
        <v>436</v>
      </c>
      <c r="AT48" s="1236"/>
      <c r="AU48" s="1238"/>
      <c r="AV48" s="1293">
        <f>計算用資料!H108</f>
        <v>0</v>
      </c>
      <c r="AW48" s="1294"/>
      <c r="AX48" s="1294"/>
      <c r="AY48" s="1294"/>
      <c r="AZ48" s="1294"/>
      <c r="BA48" s="1294"/>
      <c r="BB48" s="466"/>
      <c r="BC48" s="433"/>
      <c r="BD48" s="81"/>
      <c r="BE48" s="81"/>
      <c r="BF48" s="5"/>
      <c r="BG48"/>
      <c r="BH48"/>
      <c r="BI48"/>
      <c r="BJ48"/>
      <c r="BK48"/>
      <c r="BL48"/>
      <c r="BM48"/>
      <c r="BN48"/>
      <c r="BO48"/>
      <c r="DG48" s="1"/>
      <c r="DH48" s="1"/>
      <c r="DI48" s="1"/>
      <c r="DJ48" s="1"/>
      <c r="DK48" s="1"/>
      <c r="DL48" s="1"/>
      <c r="DM48" s="1"/>
      <c r="DN48" s="1"/>
      <c r="DO48" s="1"/>
      <c r="DP48" s="1"/>
    </row>
    <row r="49" spans="1:120" ht="14.45" customHeight="1">
      <c r="A49" s="1349"/>
      <c r="B49" s="1349"/>
      <c r="C49" s="1352"/>
      <c r="D49" s="1353"/>
      <c r="E49" s="1380"/>
      <c r="F49" s="1096" t="s">
        <v>5</v>
      </c>
      <c r="G49" s="1097"/>
      <c r="H49" s="1097"/>
      <c r="I49" s="1097"/>
      <c r="J49" s="1338" t="str">
        <f>計算用資料!E152</f>
        <v/>
      </c>
      <c r="K49" s="1339"/>
      <c r="L49" s="1339"/>
      <c r="M49" s="1339"/>
      <c r="N49" s="1339"/>
      <c r="O49" s="1339"/>
      <c r="P49" s="1339"/>
      <c r="Q49" s="1339"/>
      <c r="R49" s="1339"/>
      <c r="S49" s="1339"/>
      <c r="T49" s="1339"/>
      <c r="U49" s="1339"/>
      <c r="V49" s="1339"/>
      <c r="W49" s="1339"/>
      <c r="X49" s="1339"/>
      <c r="Y49" s="1514"/>
      <c r="Z49" s="1306" t="s">
        <v>81</v>
      </c>
      <c r="AA49" s="1306"/>
      <c r="AB49" s="1306"/>
      <c r="AC49" s="1306"/>
      <c r="AD49" s="1307">
        <f>計算用資料!K78</f>
        <v>0</v>
      </c>
      <c r="AE49" s="1307"/>
      <c r="AF49" s="1307"/>
      <c r="AG49" s="1308"/>
      <c r="AH49" s="433"/>
      <c r="AI49" s="1462"/>
      <c r="AJ49" s="1463"/>
      <c r="AK49" s="1309" t="s">
        <v>62</v>
      </c>
      <c r="AL49" s="1310"/>
      <c r="AM49" s="1310"/>
      <c r="AN49" s="1310"/>
      <c r="AO49" s="1310"/>
      <c r="AP49" s="1310"/>
      <c r="AQ49" s="1310"/>
      <c r="AR49" s="1311"/>
      <c r="AS49" s="1322" t="s">
        <v>437</v>
      </c>
      <c r="AT49" s="1236"/>
      <c r="AU49" s="1238"/>
      <c r="AV49" s="1293">
        <f>計算用資料!C161</f>
        <v>0</v>
      </c>
      <c r="AW49" s="1294"/>
      <c r="AX49" s="1294"/>
      <c r="AY49" s="1294"/>
      <c r="AZ49" s="1294"/>
      <c r="BA49" s="1294"/>
      <c r="BB49" s="440"/>
      <c r="BC49" s="433"/>
      <c r="BD49" s="81"/>
      <c r="BE49" s="81"/>
      <c r="BF49" s="5"/>
      <c r="BG49"/>
      <c r="BH49"/>
      <c r="BI49"/>
      <c r="BJ49"/>
      <c r="BK49"/>
      <c r="BL49"/>
      <c r="BM49"/>
      <c r="BN49"/>
      <c r="BO49"/>
      <c r="DG49" s="1"/>
      <c r="DH49" s="1"/>
      <c r="DI49" s="1"/>
      <c r="DJ49" s="1"/>
      <c r="DK49" s="1"/>
      <c r="DL49" s="1"/>
      <c r="DM49" s="1"/>
      <c r="DN49" s="1"/>
      <c r="DO49" s="1"/>
      <c r="DP49" s="1"/>
    </row>
    <row r="50" spans="1:120" ht="14.45" customHeight="1">
      <c r="A50" s="1349"/>
      <c r="B50" s="1349"/>
      <c r="C50" s="1352"/>
      <c r="D50" s="1353"/>
      <c r="E50" s="1378">
        <v>3</v>
      </c>
      <c r="F50" s="464" t="s">
        <v>142</v>
      </c>
      <c r="G50" s="1358">
        <f>配偶者・扶養!D29</f>
        <v>0</v>
      </c>
      <c r="H50" s="1358"/>
      <c r="I50" s="1358"/>
      <c r="J50" s="1358"/>
      <c r="K50" s="1358"/>
      <c r="L50" s="1358"/>
      <c r="M50" s="1358"/>
      <c r="N50" s="1358"/>
      <c r="O50" s="1358"/>
      <c r="P50" s="1109" t="s">
        <v>3</v>
      </c>
      <c r="Q50" s="1109"/>
      <c r="R50" s="1109" t="s">
        <v>138</v>
      </c>
      <c r="S50" s="1109"/>
      <c r="T50" s="1109"/>
      <c r="U50" s="1109"/>
      <c r="V50" s="1109" t="s">
        <v>144</v>
      </c>
      <c r="W50" s="1109"/>
      <c r="X50" s="1109" t="s">
        <v>140</v>
      </c>
      <c r="Y50" s="1109"/>
      <c r="Z50" s="1111" t="s">
        <v>78</v>
      </c>
      <c r="AA50" s="1111"/>
      <c r="AB50" s="1341" t="str">
        <f>配偶者・扶養!D31</f>
        <v>　</v>
      </c>
      <c r="AC50" s="1341"/>
      <c r="AD50" s="1109" t="s">
        <v>79</v>
      </c>
      <c r="AE50" s="1109"/>
      <c r="AF50" s="1318">
        <f>配偶者・扶養!M30</f>
        <v>0</v>
      </c>
      <c r="AG50" s="1319"/>
      <c r="AH50" s="433"/>
      <c r="AI50" s="1462"/>
      <c r="AJ50" s="1463"/>
      <c r="AK50" s="1309" t="s">
        <v>63</v>
      </c>
      <c r="AL50" s="1310"/>
      <c r="AM50" s="1310"/>
      <c r="AN50" s="1310"/>
      <c r="AO50" s="1310"/>
      <c r="AP50" s="1310"/>
      <c r="AQ50" s="1310"/>
      <c r="AR50" s="1311"/>
      <c r="AS50" s="1322" t="s">
        <v>438</v>
      </c>
      <c r="AT50" s="1236"/>
      <c r="AU50" s="1238"/>
      <c r="AV50" s="1293">
        <f>計算用資料!D161</f>
        <v>0</v>
      </c>
      <c r="AW50" s="1294"/>
      <c r="AX50" s="1294"/>
      <c r="AY50" s="1294"/>
      <c r="AZ50" s="1294"/>
      <c r="BA50" s="1294"/>
      <c r="BB50" s="440"/>
      <c r="BC50" s="433"/>
      <c r="BD50" s="81"/>
      <c r="BE50" s="82"/>
      <c r="BF50" s="7"/>
      <c r="BG50"/>
      <c r="BH50"/>
      <c r="BI50"/>
      <c r="BJ50"/>
      <c r="BK50"/>
      <c r="BL50"/>
      <c r="BM50"/>
      <c r="BN50"/>
      <c r="BO50"/>
      <c r="DG50" s="1"/>
      <c r="DH50" s="1"/>
      <c r="DI50" s="1"/>
      <c r="DJ50" s="1"/>
      <c r="DK50" s="1"/>
      <c r="DL50" s="1"/>
      <c r="DM50" s="1"/>
      <c r="DN50" s="1"/>
      <c r="DO50" s="1"/>
      <c r="DP50" s="1"/>
    </row>
    <row r="51" spans="1:120" ht="14.45" customHeight="1">
      <c r="A51" s="1349"/>
      <c r="B51" s="1349"/>
      <c r="C51" s="1352"/>
      <c r="D51" s="1353"/>
      <c r="E51" s="1379"/>
      <c r="F51" s="465" t="s">
        <v>80</v>
      </c>
      <c r="G51" s="1357">
        <f>配偶者・扶養!D30</f>
        <v>0</v>
      </c>
      <c r="H51" s="1357"/>
      <c r="I51" s="1357"/>
      <c r="J51" s="1357"/>
      <c r="K51" s="1357"/>
      <c r="L51" s="1357"/>
      <c r="M51" s="1357"/>
      <c r="N51" s="1357"/>
      <c r="O51" s="1357"/>
      <c r="P51" s="1110"/>
      <c r="Q51" s="1110"/>
      <c r="R51" s="1108" t="str">
        <f>計算用資料!H152</f>
        <v/>
      </c>
      <c r="S51" s="1108"/>
      <c r="T51" s="1108">
        <f>配偶者・扶養!J30</f>
        <v>0</v>
      </c>
      <c r="U51" s="1108"/>
      <c r="V51" s="1108">
        <f>配偶者・扶養!K30</f>
        <v>0</v>
      </c>
      <c r="W51" s="1108"/>
      <c r="X51" s="1108">
        <f>配偶者・扶養!L30</f>
        <v>0</v>
      </c>
      <c r="Y51" s="1108"/>
      <c r="Z51" s="1112"/>
      <c r="AA51" s="1112"/>
      <c r="AB51" s="1342"/>
      <c r="AC51" s="1342"/>
      <c r="AD51" s="1110"/>
      <c r="AE51" s="1110"/>
      <c r="AF51" s="1320"/>
      <c r="AG51" s="1321"/>
      <c r="AH51" s="433"/>
      <c r="AI51" s="1462"/>
      <c r="AJ51" s="1463"/>
      <c r="AK51" s="1309" t="s">
        <v>64</v>
      </c>
      <c r="AL51" s="1310"/>
      <c r="AM51" s="1310"/>
      <c r="AN51" s="1310"/>
      <c r="AO51" s="1310"/>
      <c r="AP51" s="1310"/>
      <c r="AQ51" s="1310"/>
      <c r="AR51" s="1311"/>
      <c r="AS51" s="1322" t="s">
        <v>439</v>
      </c>
      <c r="AT51" s="1236"/>
      <c r="AU51" s="1238"/>
      <c r="AV51" s="1293">
        <f>計算用資料!N77</f>
        <v>0</v>
      </c>
      <c r="AW51" s="1294"/>
      <c r="AX51" s="1294"/>
      <c r="AY51" s="1294"/>
      <c r="AZ51" s="1294"/>
      <c r="BA51" s="1294"/>
      <c r="BB51" s="440"/>
      <c r="BC51" s="433"/>
      <c r="BD51" s="81"/>
      <c r="BE51" s="81"/>
      <c r="BF51" s="5"/>
      <c r="BG51"/>
      <c r="BH51"/>
      <c r="BI51"/>
      <c r="BJ51"/>
      <c r="BK51"/>
      <c r="BL51"/>
      <c r="BM51"/>
      <c r="BN51"/>
      <c r="BO51"/>
      <c r="DG51" s="1"/>
      <c r="DH51" s="1"/>
      <c r="DI51" s="1"/>
      <c r="DJ51" s="1"/>
      <c r="DK51" s="1"/>
      <c r="DL51" s="1"/>
      <c r="DM51" s="1"/>
      <c r="DN51" s="1"/>
      <c r="DO51" s="1"/>
      <c r="DP51" s="1"/>
    </row>
    <row r="52" spans="1:120" ht="14.45" customHeight="1">
      <c r="A52" s="1349"/>
      <c r="B52" s="1349"/>
      <c r="C52" s="1352"/>
      <c r="D52" s="1353"/>
      <c r="E52" s="1380"/>
      <c r="F52" s="1096" t="s">
        <v>5</v>
      </c>
      <c r="G52" s="1097"/>
      <c r="H52" s="1097"/>
      <c r="I52" s="1097"/>
      <c r="J52" s="1338" t="str">
        <f>計算用資料!G152</f>
        <v/>
      </c>
      <c r="K52" s="1339"/>
      <c r="L52" s="1339"/>
      <c r="M52" s="1339"/>
      <c r="N52" s="1339"/>
      <c r="O52" s="1339"/>
      <c r="P52" s="1339"/>
      <c r="Q52" s="1339"/>
      <c r="R52" s="1339"/>
      <c r="S52" s="1339"/>
      <c r="T52" s="1339"/>
      <c r="U52" s="1339"/>
      <c r="V52" s="1339"/>
      <c r="W52" s="1339"/>
      <c r="X52" s="1339"/>
      <c r="Y52" s="1514"/>
      <c r="Z52" s="1306" t="s">
        <v>81</v>
      </c>
      <c r="AA52" s="1306"/>
      <c r="AB52" s="1306"/>
      <c r="AC52" s="1306"/>
      <c r="AD52" s="1307">
        <f>計算用資料!K79</f>
        <v>0</v>
      </c>
      <c r="AE52" s="1307"/>
      <c r="AF52" s="1307"/>
      <c r="AG52" s="1308"/>
      <c r="AH52" s="433"/>
      <c r="AI52" s="1462"/>
      <c r="AJ52" s="1463"/>
      <c r="AK52" s="1309" t="s">
        <v>65</v>
      </c>
      <c r="AL52" s="1310"/>
      <c r="AM52" s="1310"/>
      <c r="AN52" s="1310"/>
      <c r="AO52" s="1310"/>
      <c r="AP52" s="1310"/>
      <c r="AQ52" s="1310"/>
      <c r="AR52" s="1311"/>
      <c r="AS52" s="1322" t="s">
        <v>440</v>
      </c>
      <c r="AT52" s="1236"/>
      <c r="AU52" s="1238"/>
      <c r="AV52" s="1293">
        <f>計算用資料!E161</f>
        <v>430000</v>
      </c>
      <c r="AW52" s="1294"/>
      <c r="AX52" s="1294"/>
      <c r="AY52" s="1294"/>
      <c r="AZ52" s="1294"/>
      <c r="BA52" s="1294"/>
      <c r="BB52" s="440"/>
      <c r="BC52" s="433"/>
      <c r="BD52" s="81"/>
      <c r="BE52" s="81"/>
      <c r="BF52" s="5"/>
      <c r="BG52"/>
      <c r="BH52"/>
      <c r="BI52"/>
      <c r="BJ52"/>
      <c r="BK52"/>
      <c r="BL52"/>
      <c r="BM52"/>
      <c r="BN52"/>
      <c r="BO52"/>
      <c r="DG52" s="1"/>
      <c r="DH52" s="1"/>
      <c r="DI52" s="1"/>
      <c r="DJ52" s="1"/>
      <c r="DK52" s="1"/>
      <c r="DL52" s="1"/>
      <c r="DM52" s="1"/>
      <c r="DN52" s="1"/>
      <c r="DO52" s="1"/>
      <c r="DP52" s="1"/>
    </row>
    <row r="53" spans="1:120" ht="14.45" customHeight="1">
      <c r="A53" s="1349"/>
      <c r="B53" s="1349"/>
      <c r="C53" s="1352"/>
      <c r="D53" s="1353"/>
      <c r="E53" s="1378">
        <v>4</v>
      </c>
      <c r="F53" s="464" t="s">
        <v>142</v>
      </c>
      <c r="G53" s="1356">
        <f>配偶者・扶養!D34</f>
        <v>0</v>
      </c>
      <c r="H53" s="1356"/>
      <c r="I53" s="1356"/>
      <c r="J53" s="1356"/>
      <c r="K53" s="1356"/>
      <c r="L53" s="1356"/>
      <c r="M53" s="1356"/>
      <c r="N53" s="1356"/>
      <c r="O53" s="1356"/>
      <c r="P53" s="1109" t="s">
        <v>3</v>
      </c>
      <c r="Q53" s="1109"/>
      <c r="R53" s="1109" t="s">
        <v>138</v>
      </c>
      <c r="S53" s="1109"/>
      <c r="T53" s="1109"/>
      <c r="U53" s="1109"/>
      <c r="V53" s="1109" t="s">
        <v>144</v>
      </c>
      <c r="W53" s="1109"/>
      <c r="X53" s="1109" t="s">
        <v>140</v>
      </c>
      <c r="Y53" s="1109"/>
      <c r="Z53" s="1111" t="s">
        <v>82</v>
      </c>
      <c r="AA53" s="1111"/>
      <c r="AB53" s="1341" t="str">
        <f>配偶者・扶養!D36</f>
        <v>　</v>
      </c>
      <c r="AC53" s="1341"/>
      <c r="AD53" s="1109" t="s">
        <v>79</v>
      </c>
      <c r="AE53" s="1109"/>
      <c r="AF53" s="1318">
        <f>配偶者・扶養!M35</f>
        <v>0</v>
      </c>
      <c r="AG53" s="1319"/>
      <c r="AH53" s="433"/>
      <c r="AI53" s="1462"/>
      <c r="AJ53" s="1463"/>
      <c r="AK53" s="1312" t="s">
        <v>441</v>
      </c>
      <c r="AL53" s="1313"/>
      <c r="AM53" s="1313"/>
      <c r="AN53" s="1313"/>
      <c r="AO53" s="1313"/>
      <c r="AP53" s="1313"/>
      <c r="AQ53" s="1313"/>
      <c r="AR53" s="1314"/>
      <c r="AS53" s="1297" t="s">
        <v>442</v>
      </c>
      <c r="AT53" s="1298"/>
      <c r="AU53" s="1299"/>
      <c r="AV53" s="1293">
        <f>計算用資料!F161</f>
        <v>430000</v>
      </c>
      <c r="AW53" s="1294"/>
      <c r="AX53" s="1294"/>
      <c r="AY53" s="1294"/>
      <c r="AZ53" s="1294"/>
      <c r="BA53" s="1294"/>
      <c r="BB53" s="440"/>
      <c r="BC53" s="433"/>
      <c r="BD53" s="81"/>
      <c r="BE53" s="83"/>
      <c r="BF53" s="20"/>
      <c r="BG53"/>
      <c r="BH53"/>
      <c r="BI53"/>
      <c r="BJ53"/>
      <c r="BK53"/>
      <c r="BL53"/>
      <c r="BM53"/>
      <c r="BN53"/>
      <c r="BO53"/>
      <c r="DG53" s="1"/>
      <c r="DH53" s="1"/>
      <c r="DI53" s="1"/>
      <c r="DJ53" s="1"/>
      <c r="DK53" s="1"/>
      <c r="DL53" s="1"/>
      <c r="DM53" s="1"/>
      <c r="DN53" s="1"/>
      <c r="DO53" s="1"/>
      <c r="DP53" s="1"/>
    </row>
    <row r="54" spans="1:120" ht="14.45" customHeight="1">
      <c r="A54" s="1349"/>
      <c r="B54" s="1349"/>
      <c r="C54" s="1352"/>
      <c r="D54" s="1353"/>
      <c r="E54" s="1379"/>
      <c r="F54" s="465" t="s">
        <v>80</v>
      </c>
      <c r="G54" s="1524">
        <f>配偶者・扶養!D35</f>
        <v>0</v>
      </c>
      <c r="H54" s="1524"/>
      <c r="I54" s="1524"/>
      <c r="J54" s="1524"/>
      <c r="K54" s="1524"/>
      <c r="L54" s="1524"/>
      <c r="M54" s="1524"/>
      <c r="N54" s="1524"/>
      <c r="O54" s="1524"/>
      <c r="P54" s="1110"/>
      <c r="Q54" s="1110"/>
      <c r="R54" s="1108" t="str">
        <f>計算用資料!J152</f>
        <v/>
      </c>
      <c r="S54" s="1108"/>
      <c r="T54" s="1108">
        <f>配偶者・扶養!J35</f>
        <v>0</v>
      </c>
      <c r="U54" s="1108"/>
      <c r="V54" s="1108">
        <f>配偶者・扶養!K35</f>
        <v>0</v>
      </c>
      <c r="W54" s="1108"/>
      <c r="X54" s="1108">
        <f>配偶者・扶養!L35</f>
        <v>0</v>
      </c>
      <c r="Y54" s="1108"/>
      <c r="Z54" s="1112"/>
      <c r="AA54" s="1112"/>
      <c r="AB54" s="1342"/>
      <c r="AC54" s="1342"/>
      <c r="AD54" s="1110"/>
      <c r="AE54" s="1110"/>
      <c r="AF54" s="1320"/>
      <c r="AG54" s="1321"/>
      <c r="AH54" s="433"/>
      <c r="AI54" s="1462"/>
      <c r="AJ54" s="1463"/>
      <c r="AK54" s="1309" t="s">
        <v>6</v>
      </c>
      <c r="AL54" s="1310"/>
      <c r="AM54" s="1310"/>
      <c r="AN54" s="1310"/>
      <c r="AO54" s="1310"/>
      <c r="AP54" s="1310"/>
      <c r="AQ54" s="1310"/>
      <c r="AR54" s="1311"/>
      <c r="AS54" s="1297" t="s">
        <v>443</v>
      </c>
      <c r="AT54" s="1298"/>
      <c r="AU54" s="1299"/>
      <c r="AV54" s="1293"/>
      <c r="AW54" s="1294"/>
      <c r="AX54" s="1294"/>
      <c r="AY54" s="1294"/>
      <c r="AZ54" s="1294"/>
      <c r="BA54" s="1294"/>
      <c r="BB54" s="440"/>
      <c r="BC54" s="433"/>
      <c r="BD54" s="81"/>
      <c r="BE54" s="81"/>
      <c r="BF54" s="5"/>
      <c r="BG54"/>
      <c r="BH54"/>
      <c r="BI54"/>
      <c r="BJ54"/>
      <c r="BK54"/>
      <c r="BL54"/>
      <c r="BM54"/>
      <c r="BN54"/>
      <c r="BO54"/>
      <c r="DG54" s="1"/>
      <c r="DH54" s="1"/>
      <c r="DI54" s="1"/>
      <c r="DJ54" s="1"/>
      <c r="DK54" s="1"/>
      <c r="DL54" s="1"/>
      <c r="DM54" s="1"/>
      <c r="DN54" s="1"/>
      <c r="DO54" s="1"/>
      <c r="DP54" s="1"/>
    </row>
    <row r="55" spans="1:120" ht="14.45" customHeight="1">
      <c r="A55" s="1349"/>
      <c r="B55" s="1349"/>
      <c r="C55" s="1354"/>
      <c r="D55" s="1355"/>
      <c r="E55" s="1380"/>
      <c r="F55" s="1096" t="s">
        <v>5</v>
      </c>
      <c r="G55" s="1097"/>
      <c r="H55" s="1097"/>
      <c r="I55" s="1097"/>
      <c r="J55" s="1338" t="str">
        <f>計算用資料!I152</f>
        <v/>
      </c>
      <c r="K55" s="1339"/>
      <c r="L55" s="1339"/>
      <c r="M55" s="1339"/>
      <c r="N55" s="1339"/>
      <c r="O55" s="1339"/>
      <c r="P55" s="1339"/>
      <c r="Q55" s="1339"/>
      <c r="R55" s="1339"/>
      <c r="S55" s="1339"/>
      <c r="T55" s="1339"/>
      <c r="U55" s="1339"/>
      <c r="V55" s="1339"/>
      <c r="W55" s="1339"/>
      <c r="X55" s="1339"/>
      <c r="Y55" s="1514"/>
      <c r="Z55" s="1306" t="s">
        <v>81</v>
      </c>
      <c r="AA55" s="1306"/>
      <c r="AB55" s="1306"/>
      <c r="AC55" s="1306"/>
      <c r="AD55" s="1307">
        <f>計算用資料!K80</f>
        <v>0</v>
      </c>
      <c r="AE55" s="1307"/>
      <c r="AF55" s="1307"/>
      <c r="AG55" s="1308"/>
      <c r="AH55" s="433"/>
      <c r="AI55" s="1462"/>
      <c r="AJ55" s="1463"/>
      <c r="AK55" s="1626" t="s">
        <v>0</v>
      </c>
      <c r="AL55" s="1275"/>
      <c r="AM55" s="1275"/>
      <c r="AN55" s="1275"/>
      <c r="AO55" s="1275" t="s">
        <v>66</v>
      </c>
      <c r="AP55" s="1275"/>
      <c r="AQ55" s="1448" t="str">
        <f>計算用資料!H161</f>
        <v/>
      </c>
      <c r="AR55" s="1449"/>
      <c r="AS55" s="1297" t="s">
        <v>444</v>
      </c>
      <c r="AT55" s="1298"/>
      <c r="AU55" s="1299"/>
      <c r="AV55" s="1293">
        <f>計算用資料!G161</f>
        <v>0</v>
      </c>
      <c r="AW55" s="1294"/>
      <c r="AX55" s="1294"/>
      <c r="AY55" s="1294"/>
      <c r="AZ55" s="1294"/>
      <c r="BA55" s="1294"/>
      <c r="BB55" s="440"/>
      <c r="BC55" s="433"/>
      <c r="BD55" s="81"/>
      <c r="BE55" s="81"/>
      <c r="BF55" s="5"/>
      <c r="BG55"/>
      <c r="BH55"/>
      <c r="BI55"/>
      <c r="BJ55"/>
      <c r="BK55"/>
      <c r="BL55"/>
      <c r="BM55"/>
      <c r="BN55"/>
      <c r="BO55"/>
      <c r="DG55" s="1"/>
      <c r="DH55" s="1"/>
      <c r="DI55" s="1"/>
      <c r="DJ55" s="1"/>
      <c r="DK55" s="1"/>
      <c r="DL55" s="1"/>
      <c r="DM55" s="1"/>
      <c r="DN55" s="1"/>
      <c r="DO55" s="1"/>
      <c r="DP55" s="1"/>
    </row>
    <row r="56" spans="1:120" ht="14.45" customHeight="1">
      <c r="A56" s="1349"/>
      <c r="B56" s="1349"/>
      <c r="C56" s="1350" t="s">
        <v>136</v>
      </c>
      <c r="D56" s="1351"/>
      <c r="E56" s="1378">
        <v>1</v>
      </c>
      <c r="F56" s="464" t="s">
        <v>143</v>
      </c>
      <c r="G56" s="1358">
        <f>配偶者・扶養!D44</f>
        <v>0</v>
      </c>
      <c r="H56" s="1358"/>
      <c r="I56" s="1358"/>
      <c r="J56" s="1358"/>
      <c r="K56" s="1358"/>
      <c r="L56" s="1358"/>
      <c r="M56" s="1358"/>
      <c r="N56" s="1358"/>
      <c r="O56" s="1358"/>
      <c r="P56" s="1109" t="s">
        <v>23</v>
      </c>
      <c r="Q56" s="1109"/>
      <c r="R56" s="1109" t="s">
        <v>138</v>
      </c>
      <c r="S56" s="1109"/>
      <c r="T56" s="1109"/>
      <c r="U56" s="1109"/>
      <c r="V56" s="1109" t="s">
        <v>144</v>
      </c>
      <c r="W56" s="1109"/>
      <c r="X56" s="1109" t="s">
        <v>140</v>
      </c>
      <c r="Y56" s="1109"/>
      <c r="Z56" s="1111" t="s">
        <v>78</v>
      </c>
      <c r="AA56" s="1111"/>
      <c r="AB56" s="1341" t="str">
        <f>配偶者・扶養!D46</f>
        <v>　</v>
      </c>
      <c r="AC56" s="1341"/>
      <c r="AD56" s="1109" t="s">
        <v>79</v>
      </c>
      <c r="AE56" s="1109"/>
      <c r="AF56" s="1318">
        <f>配偶者・扶養!M45</f>
        <v>0</v>
      </c>
      <c r="AG56" s="1319"/>
      <c r="AH56" s="433"/>
      <c r="AI56" s="1464"/>
      <c r="AJ56" s="1465"/>
      <c r="AK56" s="1303" t="s">
        <v>446</v>
      </c>
      <c r="AL56" s="1304"/>
      <c r="AM56" s="1304"/>
      <c r="AN56" s="1304"/>
      <c r="AO56" s="1304"/>
      <c r="AP56" s="1304"/>
      <c r="AQ56" s="1304"/>
      <c r="AR56" s="1305"/>
      <c r="AS56" s="1300" t="s">
        <v>445</v>
      </c>
      <c r="AT56" s="1301"/>
      <c r="AU56" s="1302"/>
      <c r="AV56" s="1295">
        <f>計算用資料!I161</f>
        <v>430000</v>
      </c>
      <c r="AW56" s="1296"/>
      <c r="AX56" s="1296"/>
      <c r="AY56" s="1296"/>
      <c r="AZ56" s="1296"/>
      <c r="BA56" s="1296"/>
      <c r="BB56" s="448"/>
      <c r="BC56" s="433"/>
      <c r="BD56" s="81"/>
      <c r="BE56" s="81"/>
      <c r="BF56" s="5"/>
      <c r="BG56"/>
      <c r="BH56"/>
      <c r="BI56"/>
      <c r="BJ56"/>
      <c r="BK56"/>
      <c r="BL56"/>
      <c r="BM56"/>
      <c r="BN56"/>
      <c r="BO56"/>
      <c r="DG56" s="1"/>
      <c r="DH56" s="1"/>
      <c r="DI56" s="1"/>
      <c r="DJ56" s="1"/>
      <c r="DK56" s="1"/>
      <c r="DL56" s="1"/>
      <c r="DM56" s="1"/>
      <c r="DN56" s="1"/>
      <c r="DO56" s="1"/>
      <c r="DP56" s="1"/>
    </row>
    <row r="57" spans="1:120" ht="14.45" customHeight="1">
      <c r="A57" s="1349"/>
      <c r="B57" s="1349"/>
      <c r="C57" s="1352"/>
      <c r="D57" s="1353"/>
      <c r="E57" s="1379"/>
      <c r="F57" s="465" t="s">
        <v>80</v>
      </c>
      <c r="G57" s="1357">
        <f>配偶者・扶養!D45</f>
        <v>0</v>
      </c>
      <c r="H57" s="1357"/>
      <c r="I57" s="1357"/>
      <c r="J57" s="1357"/>
      <c r="K57" s="1357"/>
      <c r="L57" s="1357"/>
      <c r="M57" s="1357"/>
      <c r="N57" s="1357"/>
      <c r="O57" s="1357"/>
      <c r="P57" s="1110"/>
      <c r="Q57" s="1110"/>
      <c r="R57" s="1108" t="str">
        <f>計算用資料!D155</f>
        <v/>
      </c>
      <c r="S57" s="1108"/>
      <c r="T57" s="1108">
        <f>配偶者・扶養!J45</f>
        <v>0</v>
      </c>
      <c r="U57" s="1108"/>
      <c r="V57" s="1108">
        <f>配偶者・扶養!K45</f>
        <v>0</v>
      </c>
      <c r="W57" s="1108"/>
      <c r="X57" s="1108">
        <f>配偶者・扶養!L45</f>
        <v>0</v>
      </c>
      <c r="Y57" s="1108"/>
      <c r="Z57" s="1112"/>
      <c r="AA57" s="1112"/>
      <c r="AB57" s="1342"/>
      <c r="AC57" s="1342"/>
      <c r="AD57" s="1110"/>
      <c r="AE57" s="1110"/>
      <c r="AF57" s="1320"/>
      <c r="AG57" s="1321"/>
      <c r="AH57" s="433"/>
      <c r="AI57" s="1249" t="s">
        <v>912</v>
      </c>
      <c r="AJ57" s="1249"/>
      <c r="AK57" s="1249"/>
      <c r="AL57" s="1249"/>
      <c r="AM57" s="1249"/>
      <c r="AN57" s="1249"/>
      <c r="AO57" s="1249"/>
      <c r="AP57" s="1249"/>
      <c r="AQ57" s="1249"/>
      <c r="AR57" s="1249"/>
      <c r="AS57" s="1249"/>
      <c r="AT57" s="1249"/>
      <c r="AU57" s="1249"/>
      <c r="AV57" s="1249"/>
      <c r="AW57" s="1249"/>
      <c r="AX57" s="1249"/>
      <c r="AY57" s="1249"/>
      <c r="AZ57" s="1249"/>
      <c r="BA57" s="1249"/>
      <c r="BB57" s="1249"/>
      <c r="BC57" s="467"/>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c r="CA57" s="81"/>
      <c r="CB57" s="81"/>
      <c r="CC57" s="81"/>
      <c r="CD57" s="5"/>
      <c r="CE57"/>
      <c r="CF57"/>
      <c r="CG57"/>
      <c r="CH57"/>
      <c r="CI57"/>
      <c r="CJ57"/>
      <c r="CK57"/>
      <c r="CL57"/>
      <c r="CM57"/>
      <c r="DG57" s="1"/>
      <c r="DH57" s="1"/>
      <c r="DI57" s="1"/>
      <c r="DJ57" s="1"/>
      <c r="DK57" s="1"/>
      <c r="DL57" s="1"/>
      <c r="DM57" s="1"/>
      <c r="DN57" s="1"/>
      <c r="DO57" s="1"/>
      <c r="DP57" s="1"/>
    </row>
    <row r="58" spans="1:120" ht="14.45" customHeight="1">
      <c r="A58" s="1349"/>
      <c r="B58" s="1349"/>
      <c r="C58" s="1352"/>
      <c r="D58" s="1353"/>
      <c r="E58" s="1380"/>
      <c r="F58" s="1096" t="s">
        <v>5</v>
      </c>
      <c r="G58" s="1097"/>
      <c r="H58" s="1097"/>
      <c r="I58" s="1097"/>
      <c r="J58" s="1338" t="str">
        <f>計算用資料!C155</f>
        <v/>
      </c>
      <c r="K58" s="1339"/>
      <c r="L58" s="1339"/>
      <c r="M58" s="1339"/>
      <c r="N58" s="1339"/>
      <c r="O58" s="1339"/>
      <c r="P58" s="1339"/>
      <c r="Q58" s="1339"/>
      <c r="R58" s="1339"/>
      <c r="S58" s="1339"/>
      <c r="T58" s="1339"/>
      <c r="U58" s="1339"/>
      <c r="V58" s="1339"/>
      <c r="W58" s="1339"/>
      <c r="X58" s="1339"/>
      <c r="Y58" s="1339"/>
      <c r="Z58" s="1339"/>
      <c r="AA58" s="1339"/>
      <c r="AB58" s="1339"/>
      <c r="AC58" s="1339"/>
      <c r="AD58" s="1339"/>
      <c r="AE58" s="1339"/>
      <c r="AF58" s="1339"/>
      <c r="AG58" s="1340"/>
      <c r="AH58" s="433"/>
      <c r="AI58" s="1250"/>
      <c r="AJ58" s="1250"/>
      <c r="AK58" s="1250"/>
      <c r="AL58" s="1250"/>
      <c r="AM58" s="1250"/>
      <c r="AN58" s="1250"/>
      <c r="AO58" s="1250"/>
      <c r="AP58" s="1250"/>
      <c r="AQ58" s="1250"/>
      <c r="AR58" s="1250"/>
      <c r="AS58" s="1250"/>
      <c r="AT58" s="1250"/>
      <c r="AU58" s="1250"/>
      <c r="AV58" s="1250"/>
      <c r="AW58" s="1250"/>
      <c r="AX58" s="1250"/>
      <c r="AY58" s="1250"/>
      <c r="AZ58" s="1250"/>
      <c r="BA58" s="1250"/>
      <c r="BB58" s="1250"/>
      <c r="BC58" s="467"/>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81"/>
      <c r="CB58" s="81"/>
      <c r="CC58" s="81"/>
      <c r="CD58" s="5"/>
      <c r="CE58"/>
      <c r="CF58"/>
      <c r="CG58"/>
      <c r="CH58"/>
      <c r="CI58"/>
      <c r="CJ58"/>
      <c r="CK58"/>
      <c r="CL58"/>
      <c r="CM58"/>
      <c r="DG58" s="1"/>
      <c r="DH58" s="1"/>
      <c r="DI58" s="1"/>
      <c r="DJ58" s="1"/>
      <c r="DK58" s="1"/>
      <c r="DL58" s="1"/>
      <c r="DM58" s="1"/>
      <c r="DN58" s="1"/>
      <c r="DO58" s="1"/>
      <c r="DP58" s="1"/>
    </row>
    <row r="59" spans="1:120" ht="14.45" customHeight="1">
      <c r="A59" s="1349"/>
      <c r="B59" s="1349"/>
      <c r="C59" s="1352"/>
      <c r="D59" s="1353"/>
      <c r="E59" s="1378">
        <v>2</v>
      </c>
      <c r="F59" s="464" t="s">
        <v>142</v>
      </c>
      <c r="G59" s="1358">
        <f>配偶者・扶養!D49</f>
        <v>0</v>
      </c>
      <c r="H59" s="1358"/>
      <c r="I59" s="1358"/>
      <c r="J59" s="1358"/>
      <c r="K59" s="1358"/>
      <c r="L59" s="1358"/>
      <c r="M59" s="1358"/>
      <c r="N59" s="1358"/>
      <c r="O59" s="1358"/>
      <c r="P59" s="1109" t="s">
        <v>3</v>
      </c>
      <c r="Q59" s="1109"/>
      <c r="R59" s="1109" t="s">
        <v>138</v>
      </c>
      <c r="S59" s="1109"/>
      <c r="T59" s="1109"/>
      <c r="U59" s="1109"/>
      <c r="V59" s="1109" t="s">
        <v>144</v>
      </c>
      <c r="W59" s="1109"/>
      <c r="X59" s="1109" t="s">
        <v>140</v>
      </c>
      <c r="Y59" s="1109"/>
      <c r="Z59" s="1111" t="s">
        <v>83</v>
      </c>
      <c r="AA59" s="1111"/>
      <c r="AB59" s="1341" t="str">
        <f>配偶者・扶養!D51</f>
        <v>　</v>
      </c>
      <c r="AC59" s="1341"/>
      <c r="AD59" s="1109" t="s">
        <v>79</v>
      </c>
      <c r="AE59" s="1109"/>
      <c r="AF59" s="1318">
        <f>配偶者・扶養!M50</f>
        <v>0</v>
      </c>
      <c r="AG59" s="1319"/>
      <c r="AH59" s="433"/>
      <c r="AI59" s="1001" t="s">
        <v>1032</v>
      </c>
      <c r="AJ59" s="1248"/>
      <c r="AK59" s="1248"/>
      <c r="AL59" s="1248"/>
      <c r="AM59" s="1248"/>
      <c r="AN59" s="1248"/>
      <c r="AO59" s="1248"/>
      <c r="AP59" s="1248"/>
      <c r="AQ59" s="1248"/>
      <c r="AR59" s="1248"/>
      <c r="AS59" s="1248"/>
      <c r="AT59" s="1248"/>
      <c r="AU59" s="1248"/>
      <c r="AV59" s="1248"/>
      <c r="AW59" s="1248"/>
      <c r="AX59" s="1248"/>
      <c r="AY59" s="1248"/>
      <c r="AZ59" s="1248"/>
      <c r="BA59" s="1248"/>
      <c r="BB59" s="1248"/>
      <c r="BC59" s="468"/>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5"/>
      <c r="CB59" s="81"/>
      <c r="CC59" s="81"/>
      <c r="CD59" s="5"/>
      <c r="CE59"/>
      <c r="CF59"/>
      <c r="CG59"/>
      <c r="CH59"/>
      <c r="CI59"/>
      <c r="CJ59"/>
      <c r="CK59"/>
      <c r="CL59"/>
      <c r="CM59"/>
      <c r="DG59" s="1"/>
      <c r="DH59" s="1"/>
      <c r="DI59" s="1"/>
      <c r="DJ59" s="1"/>
      <c r="DK59" s="1"/>
      <c r="DL59" s="1"/>
      <c r="DM59" s="1"/>
      <c r="DN59" s="1"/>
      <c r="DO59" s="1"/>
      <c r="DP59" s="1"/>
    </row>
    <row r="60" spans="1:120" ht="14.45" customHeight="1">
      <c r="A60" s="1349"/>
      <c r="B60" s="1349"/>
      <c r="C60" s="1352"/>
      <c r="D60" s="1353"/>
      <c r="E60" s="1379"/>
      <c r="F60" s="465" t="s">
        <v>80</v>
      </c>
      <c r="G60" s="1357">
        <f>配偶者・扶養!D50</f>
        <v>0</v>
      </c>
      <c r="H60" s="1357"/>
      <c r="I60" s="1357"/>
      <c r="J60" s="1357"/>
      <c r="K60" s="1357"/>
      <c r="L60" s="1357"/>
      <c r="M60" s="1357"/>
      <c r="N60" s="1357"/>
      <c r="O60" s="1357"/>
      <c r="P60" s="1110"/>
      <c r="Q60" s="1110"/>
      <c r="R60" s="1108" t="str">
        <f>計算用資料!F155</f>
        <v/>
      </c>
      <c r="S60" s="1108"/>
      <c r="T60" s="1108">
        <f>配偶者・扶養!J50</f>
        <v>0</v>
      </c>
      <c r="U60" s="1108"/>
      <c r="V60" s="1108">
        <f>配偶者・扶養!K50</f>
        <v>0</v>
      </c>
      <c r="W60" s="1108"/>
      <c r="X60" s="1108">
        <f>配偶者・扶養!L50</f>
        <v>0</v>
      </c>
      <c r="Y60" s="1108"/>
      <c r="Z60" s="1112"/>
      <c r="AA60" s="1112"/>
      <c r="AB60" s="1342"/>
      <c r="AC60" s="1342"/>
      <c r="AD60" s="1110"/>
      <c r="AE60" s="1110"/>
      <c r="AF60" s="1320"/>
      <c r="AG60" s="1321"/>
      <c r="AH60" s="433"/>
      <c r="AI60" s="1601" t="s">
        <v>415</v>
      </c>
      <c r="AJ60" s="1602"/>
      <c r="AK60" s="1602"/>
      <c r="AL60" s="1602"/>
      <c r="AM60" s="1602"/>
      <c r="AN60" s="1602"/>
      <c r="AO60" s="1602"/>
      <c r="AP60" s="1602"/>
      <c r="AQ60" s="1602"/>
      <c r="AR60" s="1602"/>
      <c r="AS60" s="1602"/>
      <c r="AT60" s="1602"/>
      <c r="AU60" s="1602"/>
      <c r="AV60" s="1027">
        <f>医療費・寄附金!H18</f>
        <v>0</v>
      </c>
      <c r="AW60" s="1028"/>
      <c r="AX60" s="1028"/>
      <c r="AY60" s="1028"/>
      <c r="AZ60" s="1028"/>
      <c r="BA60" s="1028"/>
      <c r="BB60" s="469" t="s">
        <v>414</v>
      </c>
      <c r="BC60" s="470"/>
      <c r="BD60" s="137"/>
      <c r="BE60" s="142"/>
      <c r="BF60" s="95"/>
      <c r="BG60" s="95"/>
      <c r="BH60" s="95"/>
      <c r="BI60" s="95"/>
      <c r="BJ60" s="95"/>
      <c r="BK60" s="95"/>
      <c r="BL60" s="95"/>
      <c r="BM60" s="95"/>
      <c r="BN60" s="95"/>
      <c r="BO60" s="95"/>
      <c r="BP60" s="95"/>
      <c r="BQ60" s="95"/>
      <c r="BR60" s="95"/>
      <c r="BS60" s="95"/>
      <c r="BT60" s="95"/>
      <c r="BU60" s="95"/>
      <c r="BV60" s="95"/>
      <c r="BW60" s="95"/>
      <c r="BX60" s="95"/>
      <c r="BY60" s="142"/>
      <c r="BZ60" s="147"/>
      <c r="CA60" s="81"/>
      <c r="CB60" s="81"/>
      <c r="CC60" s="81"/>
      <c r="CD60" s="5"/>
      <c r="CE60"/>
      <c r="CF60"/>
      <c r="CG60"/>
      <c r="CH60"/>
      <c r="CI60"/>
      <c r="CJ60"/>
      <c r="CK60"/>
      <c r="CL60"/>
      <c r="CM60"/>
      <c r="DG60" s="1"/>
      <c r="DH60" s="1"/>
      <c r="DI60" s="1"/>
      <c r="DJ60" s="1"/>
      <c r="DK60" s="1"/>
      <c r="DL60" s="1"/>
      <c r="DM60" s="1"/>
      <c r="DN60" s="1"/>
      <c r="DO60" s="1"/>
      <c r="DP60" s="1"/>
    </row>
    <row r="61" spans="1:120" ht="14.45" customHeight="1">
      <c r="A61" s="1349"/>
      <c r="B61" s="1349"/>
      <c r="C61" s="1352"/>
      <c r="D61" s="1353"/>
      <c r="E61" s="1380"/>
      <c r="F61" s="1096" t="s">
        <v>5</v>
      </c>
      <c r="G61" s="1097"/>
      <c r="H61" s="1097"/>
      <c r="I61" s="1097"/>
      <c r="J61" s="1338" t="str">
        <f>計算用資料!E155</f>
        <v/>
      </c>
      <c r="K61" s="1339"/>
      <c r="L61" s="1339"/>
      <c r="M61" s="1339"/>
      <c r="N61" s="1339"/>
      <c r="O61" s="1339"/>
      <c r="P61" s="1339"/>
      <c r="Q61" s="1339"/>
      <c r="R61" s="1339"/>
      <c r="S61" s="1339"/>
      <c r="T61" s="1339"/>
      <c r="U61" s="1339"/>
      <c r="V61" s="1339"/>
      <c r="W61" s="1339"/>
      <c r="X61" s="1339"/>
      <c r="Y61" s="1339"/>
      <c r="Z61" s="1339"/>
      <c r="AA61" s="1339"/>
      <c r="AB61" s="1339"/>
      <c r="AC61" s="1339"/>
      <c r="AD61" s="1339"/>
      <c r="AE61" s="1339"/>
      <c r="AF61" s="1339"/>
      <c r="AG61" s="1340"/>
      <c r="AH61" s="433"/>
      <c r="AI61" s="1604" t="s">
        <v>897</v>
      </c>
      <c r="AJ61" s="1605"/>
      <c r="AK61" s="1605"/>
      <c r="AL61" s="1605"/>
      <c r="AM61" s="1605"/>
      <c r="AN61" s="1605"/>
      <c r="AO61" s="1605"/>
      <c r="AP61" s="1605"/>
      <c r="AQ61" s="1605"/>
      <c r="AR61" s="1605"/>
      <c r="AS61" s="1605"/>
      <c r="AT61" s="1605"/>
      <c r="AU61" s="1605"/>
      <c r="AV61" s="1027">
        <f>医療費・寄附金!H19</f>
        <v>0</v>
      </c>
      <c r="AW61" s="1028"/>
      <c r="AX61" s="1028"/>
      <c r="AY61" s="1028"/>
      <c r="AZ61" s="1028"/>
      <c r="BA61" s="1028"/>
      <c r="BB61" s="471"/>
      <c r="BC61" s="472"/>
      <c r="BD61" s="148"/>
      <c r="BE61" s="142"/>
      <c r="BF61" s="95"/>
      <c r="BG61" s="95"/>
      <c r="BH61" s="95"/>
      <c r="BI61" s="95"/>
      <c r="BJ61" s="95"/>
      <c r="BK61" s="95"/>
      <c r="BL61" s="95"/>
      <c r="BM61" s="95"/>
      <c r="BN61" s="95"/>
      <c r="BO61" s="95"/>
      <c r="BP61" s="95"/>
      <c r="BQ61" s="95"/>
      <c r="BR61" s="95"/>
      <c r="BS61" s="95"/>
      <c r="BT61" s="95"/>
      <c r="BU61" s="95"/>
      <c r="BV61" s="95"/>
      <c r="BW61" s="95"/>
      <c r="BX61" s="95"/>
      <c r="BY61" s="142"/>
      <c r="BZ61" s="149"/>
      <c r="CA61" s="84"/>
      <c r="CB61" s="81"/>
      <c r="CC61" s="81"/>
      <c r="CD61" s="5"/>
      <c r="CE61"/>
      <c r="CF61"/>
      <c r="CG61"/>
      <c r="CH61"/>
      <c r="CI61"/>
      <c r="CJ61"/>
      <c r="CK61"/>
      <c r="CL61"/>
      <c r="CM61"/>
      <c r="DG61" s="1"/>
      <c r="DH61" s="1"/>
      <c r="DI61" s="1"/>
      <c r="DJ61" s="1"/>
      <c r="DK61" s="1"/>
      <c r="DL61" s="1"/>
      <c r="DM61" s="1"/>
      <c r="DN61" s="1"/>
      <c r="DO61" s="1"/>
      <c r="DP61" s="1"/>
    </row>
    <row r="62" spans="1:120" ht="14.45" customHeight="1">
      <c r="A62" s="1349"/>
      <c r="B62" s="1349"/>
      <c r="C62" s="1352"/>
      <c r="D62" s="1353"/>
      <c r="E62" s="1378">
        <v>3</v>
      </c>
      <c r="F62" s="464" t="s">
        <v>143</v>
      </c>
      <c r="G62" s="1358">
        <f>配偶者・扶養!D54</f>
        <v>0</v>
      </c>
      <c r="H62" s="1358"/>
      <c r="I62" s="1358"/>
      <c r="J62" s="1358"/>
      <c r="K62" s="1358"/>
      <c r="L62" s="1358"/>
      <c r="M62" s="1358"/>
      <c r="N62" s="1358"/>
      <c r="O62" s="1358"/>
      <c r="P62" s="1109" t="s">
        <v>3</v>
      </c>
      <c r="Q62" s="1109"/>
      <c r="R62" s="1109" t="s">
        <v>138</v>
      </c>
      <c r="S62" s="1109"/>
      <c r="T62" s="1109"/>
      <c r="U62" s="1109"/>
      <c r="V62" s="1109" t="s">
        <v>144</v>
      </c>
      <c r="W62" s="1109"/>
      <c r="X62" s="1109" t="s">
        <v>140</v>
      </c>
      <c r="Y62" s="1109"/>
      <c r="Z62" s="1111" t="s">
        <v>82</v>
      </c>
      <c r="AA62" s="1111"/>
      <c r="AB62" s="1341" t="str">
        <f>配偶者・扶養!D56</f>
        <v>　</v>
      </c>
      <c r="AC62" s="1341"/>
      <c r="AD62" s="1109" t="s">
        <v>79</v>
      </c>
      <c r="AE62" s="1109"/>
      <c r="AF62" s="1318">
        <f>配偶者・扶養!M55</f>
        <v>0</v>
      </c>
      <c r="AG62" s="1319"/>
      <c r="AH62" s="433"/>
      <c r="AI62" s="1056" t="s">
        <v>25</v>
      </c>
      <c r="AJ62" s="1057"/>
      <c r="AK62" s="1057"/>
      <c r="AL62" s="1057"/>
      <c r="AM62" s="1058"/>
      <c r="AN62" s="1065" t="s">
        <v>915</v>
      </c>
      <c r="AO62" s="1066"/>
      <c r="AP62" s="1066"/>
      <c r="AQ62" s="1066"/>
      <c r="AR62" s="1066"/>
      <c r="AS62" s="1066"/>
      <c r="AT62" s="1066"/>
      <c r="AU62" s="1067"/>
      <c r="AV62" s="1254">
        <f>医療費・寄附金!N18</f>
        <v>0</v>
      </c>
      <c r="AW62" s="1255"/>
      <c r="AX62" s="1255"/>
      <c r="AY62" s="1255"/>
      <c r="AZ62" s="1255"/>
      <c r="BA62" s="1255"/>
      <c r="BB62" s="473"/>
      <c r="BC62" s="474"/>
      <c r="BD62" s="134"/>
      <c r="BE62" s="142"/>
      <c r="BF62" s="95"/>
      <c r="BG62" s="95"/>
      <c r="BH62" s="95"/>
      <c r="BI62" s="95"/>
      <c r="BJ62" s="95"/>
      <c r="BK62" s="95"/>
      <c r="BL62" s="95"/>
      <c r="BM62" s="95"/>
      <c r="BN62" s="95"/>
      <c r="BO62" s="95"/>
      <c r="BP62" s="95"/>
      <c r="BQ62" s="95"/>
      <c r="BR62" s="95"/>
      <c r="BS62" s="95"/>
      <c r="BT62" s="95"/>
      <c r="BU62" s="95"/>
      <c r="BV62" s="95"/>
      <c r="BW62" s="95"/>
      <c r="BX62" s="95"/>
      <c r="BY62" s="142"/>
      <c r="BZ62" s="149"/>
      <c r="CA62" s="81"/>
      <c r="CB62" s="81"/>
      <c r="CC62" s="81"/>
      <c r="CD62" s="5"/>
      <c r="CE62"/>
      <c r="CF62"/>
      <c r="CG62"/>
      <c r="CH62"/>
      <c r="CI62"/>
      <c r="CJ62"/>
      <c r="CK62"/>
      <c r="CL62"/>
      <c r="CM62"/>
      <c r="DG62" s="1"/>
      <c r="DH62" s="1"/>
      <c r="DI62" s="1"/>
      <c r="DJ62" s="1"/>
      <c r="DK62" s="1"/>
      <c r="DL62" s="1"/>
      <c r="DM62" s="1"/>
      <c r="DN62" s="1"/>
      <c r="DO62" s="1"/>
      <c r="DP62" s="1"/>
    </row>
    <row r="63" spans="1:120" ht="14.45" customHeight="1">
      <c r="A63" s="1349"/>
      <c r="B63" s="1349"/>
      <c r="C63" s="1352"/>
      <c r="D63" s="1353"/>
      <c r="E63" s="1379"/>
      <c r="F63" s="465" t="s">
        <v>80</v>
      </c>
      <c r="G63" s="1357">
        <f>配偶者・扶養!D55</f>
        <v>0</v>
      </c>
      <c r="H63" s="1357"/>
      <c r="I63" s="1357"/>
      <c r="J63" s="1357"/>
      <c r="K63" s="1357"/>
      <c r="L63" s="1357"/>
      <c r="M63" s="1357"/>
      <c r="N63" s="1357"/>
      <c r="O63" s="1357"/>
      <c r="P63" s="1110"/>
      <c r="Q63" s="1110"/>
      <c r="R63" s="1108" t="str">
        <f>計算用資料!H155</f>
        <v/>
      </c>
      <c r="S63" s="1108"/>
      <c r="T63" s="1108">
        <f>配偶者・扶養!J55</f>
        <v>0</v>
      </c>
      <c r="U63" s="1108"/>
      <c r="V63" s="1108">
        <f>配偶者・扶養!K55</f>
        <v>0</v>
      </c>
      <c r="W63" s="1108"/>
      <c r="X63" s="1108">
        <f>配偶者・扶養!L55</f>
        <v>0</v>
      </c>
      <c r="Y63" s="1108"/>
      <c r="Z63" s="1112"/>
      <c r="AA63" s="1112"/>
      <c r="AB63" s="1342"/>
      <c r="AC63" s="1342"/>
      <c r="AD63" s="1110"/>
      <c r="AE63" s="1110"/>
      <c r="AF63" s="1320"/>
      <c r="AG63" s="1321"/>
      <c r="AH63" s="433"/>
      <c r="AI63" s="1059"/>
      <c r="AJ63" s="1060"/>
      <c r="AK63" s="1060"/>
      <c r="AL63" s="1060"/>
      <c r="AM63" s="1061"/>
      <c r="AN63" s="1068" t="s">
        <v>913</v>
      </c>
      <c r="AO63" s="1069"/>
      <c r="AP63" s="1069"/>
      <c r="AQ63" s="1069"/>
      <c r="AR63" s="1069"/>
      <c r="AS63" s="1069"/>
      <c r="AT63" s="1069"/>
      <c r="AU63" s="1070"/>
      <c r="AV63" s="1256">
        <f>医療費・寄附金!N19</f>
        <v>0</v>
      </c>
      <c r="AW63" s="1257"/>
      <c r="AX63" s="1257"/>
      <c r="AY63" s="1257"/>
      <c r="AZ63" s="1257"/>
      <c r="BA63" s="1257"/>
      <c r="BB63" s="475"/>
      <c r="BC63" s="474"/>
      <c r="BD63" s="134"/>
      <c r="BE63" s="142"/>
      <c r="BF63" s="95"/>
      <c r="BG63" s="95"/>
      <c r="BH63" s="95"/>
      <c r="BI63" s="95"/>
      <c r="BJ63" s="95"/>
      <c r="BK63" s="95"/>
      <c r="BL63" s="95"/>
      <c r="BM63" s="95"/>
      <c r="BN63" s="95"/>
      <c r="BO63" s="95"/>
      <c r="BP63" s="95"/>
      <c r="BQ63" s="95"/>
      <c r="BR63" s="95"/>
      <c r="BS63" s="95"/>
      <c r="BT63" s="95"/>
      <c r="BU63" s="95"/>
      <c r="BV63" s="95"/>
      <c r="BW63" s="95"/>
      <c r="BX63" s="95"/>
      <c r="BY63" s="142"/>
      <c r="BZ63" s="149"/>
      <c r="CA63" s="81"/>
      <c r="CB63" s="81"/>
      <c r="CC63" s="81"/>
      <c r="CD63" s="5"/>
      <c r="CE63"/>
      <c r="CF63"/>
      <c r="CG63"/>
      <c r="CH63"/>
      <c r="CI63"/>
      <c r="CJ63"/>
      <c r="CK63"/>
      <c r="CL63"/>
      <c r="CM63"/>
      <c r="DG63" s="1"/>
      <c r="DH63" s="1"/>
      <c r="DI63" s="1"/>
      <c r="DJ63" s="1"/>
      <c r="DK63" s="1"/>
      <c r="DL63" s="1"/>
      <c r="DM63" s="1"/>
      <c r="DN63" s="1"/>
      <c r="DO63" s="1"/>
      <c r="DP63" s="1"/>
    </row>
    <row r="64" spans="1:120" ht="14.45" customHeight="1">
      <c r="A64" s="1349"/>
      <c r="B64" s="1349"/>
      <c r="C64" s="1354"/>
      <c r="D64" s="1355"/>
      <c r="E64" s="1380"/>
      <c r="F64" s="1096" t="s">
        <v>5</v>
      </c>
      <c r="G64" s="1097"/>
      <c r="H64" s="1097"/>
      <c r="I64" s="1097"/>
      <c r="J64" s="1338" t="str">
        <f>計算用資料!G155</f>
        <v/>
      </c>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40"/>
      <c r="AH64" s="433"/>
      <c r="AI64" s="1062"/>
      <c r="AJ64" s="1063"/>
      <c r="AK64" s="1063"/>
      <c r="AL64" s="1063"/>
      <c r="AM64" s="1064"/>
      <c r="AN64" s="1071" t="s">
        <v>914</v>
      </c>
      <c r="AO64" s="971"/>
      <c r="AP64" s="971"/>
      <c r="AQ64" s="971"/>
      <c r="AR64" s="971"/>
      <c r="AS64" s="971"/>
      <c r="AT64" s="971"/>
      <c r="AU64" s="1072"/>
      <c r="AV64" s="1029">
        <f>医療費・寄附金!N20</f>
        <v>0</v>
      </c>
      <c r="AW64" s="1030"/>
      <c r="AX64" s="1030"/>
      <c r="AY64" s="1030"/>
      <c r="AZ64" s="1030"/>
      <c r="BA64" s="1030"/>
      <c r="BB64" s="476"/>
      <c r="BC64" s="474"/>
      <c r="BD64" s="134"/>
      <c r="BE64" s="142"/>
      <c r="BF64" s="95"/>
      <c r="BG64" s="95"/>
      <c r="BH64" s="95"/>
      <c r="BI64" s="95"/>
      <c r="BJ64" s="95"/>
      <c r="BK64" s="95"/>
      <c r="BL64" s="95"/>
      <c r="BM64" s="95"/>
      <c r="BN64" s="95"/>
      <c r="BO64" s="95"/>
      <c r="BP64" s="95"/>
      <c r="BQ64" s="95"/>
      <c r="BR64" s="95"/>
      <c r="BS64" s="95"/>
      <c r="BT64" s="95"/>
      <c r="BU64" s="95"/>
      <c r="BV64" s="95"/>
      <c r="BW64" s="95"/>
      <c r="BX64" s="95"/>
      <c r="BY64" s="142"/>
      <c r="BZ64" s="149"/>
      <c r="CA64" s="81"/>
      <c r="CB64" s="81"/>
      <c r="CC64" s="81"/>
      <c r="CD64" s="5"/>
      <c r="CE64"/>
      <c r="CF64"/>
      <c r="CG64"/>
      <c r="CH64"/>
      <c r="CI64"/>
      <c r="CJ64"/>
      <c r="CK64"/>
      <c r="CL64"/>
      <c r="CM64"/>
      <c r="DG64" s="1"/>
      <c r="DH64" s="1"/>
      <c r="DI64" s="1"/>
      <c r="DJ64" s="1"/>
      <c r="DK64" s="1"/>
      <c r="DL64" s="1"/>
      <c r="DM64" s="1"/>
      <c r="DN64" s="1"/>
      <c r="DO64" s="1"/>
      <c r="DP64" s="1"/>
    </row>
    <row r="65" spans="1:120" ht="14.45" customHeight="1">
      <c r="A65" s="1349"/>
      <c r="B65" s="1349"/>
      <c r="C65" s="1603" t="s">
        <v>1497</v>
      </c>
      <c r="D65" s="1603"/>
      <c r="E65" s="1603"/>
      <c r="F65" s="1603"/>
      <c r="G65" s="1603"/>
      <c r="H65" s="1603"/>
      <c r="I65" s="1603"/>
      <c r="J65" s="1603"/>
      <c r="K65" s="1603"/>
      <c r="L65" s="1603"/>
      <c r="M65" s="1603"/>
      <c r="N65" s="1603"/>
      <c r="O65" s="1603"/>
      <c r="P65" s="1603"/>
      <c r="Q65" s="1603"/>
      <c r="R65" s="1603"/>
      <c r="S65" s="1603"/>
      <c r="T65" s="1057" t="s">
        <v>84</v>
      </c>
      <c r="U65" s="1057"/>
      <c r="V65" s="1057"/>
      <c r="W65" s="1057"/>
      <c r="X65" s="1057"/>
      <c r="Y65" s="1113"/>
      <c r="Z65" s="1317">
        <f>計算用資料!N77</f>
        <v>0</v>
      </c>
      <c r="AA65" s="1317"/>
      <c r="AB65" s="1317"/>
      <c r="AC65" s="1317"/>
      <c r="AD65" s="1317"/>
      <c r="AE65" s="1317"/>
      <c r="AF65" s="1317"/>
      <c r="AG65" s="1317"/>
      <c r="AH65" s="433"/>
      <c r="AI65" s="1038" t="s">
        <v>1538</v>
      </c>
      <c r="AJ65" s="1038"/>
      <c r="AK65" s="1038"/>
      <c r="AL65" s="1038"/>
      <c r="AM65" s="1038"/>
      <c r="AN65" s="1038"/>
      <c r="AO65" s="1038"/>
      <c r="AP65" s="1038"/>
      <c r="AQ65" s="1038"/>
      <c r="AR65" s="1038"/>
      <c r="AS65" s="1038"/>
      <c r="AT65" s="1038"/>
      <c r="AU65" s="1038"/>
      <c r="AV65" s="1038"/>
      <c r="AW65" s="1038"/>
      <c r="AX65" s="1038"/>
      <c r="AY65" s="1038"/>
      <c r="AZ65" s="1038"/>
      <c r="BA65" s="1038"/>
      <c r="BB65" s="1038"/>
      <c r="BC65" s="872"/>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81"/>
      <c r="CC65" s="81"/>
      <c r="CD65" s="5"/>
      <c r="CE65"/>
      <c r="CF65"/>
      <c r="CG65"/>
      <c r="CH65"/>
      <c r="CI65"/>
      <c r="CJ65"/>
      <c r="CK65"/>
      <c r="CL65"/>
      <c r="CM65"/>
      <c r="DG65" s="1"/>
      <c r="DH65" s="1"/>
      <c r="DI65" s="1"/>
      <c r="DJ65" s="1"/>
      <c r="DK65" s="1"/>
      <c r="DL65" s="1"/>
      <c r="DM65" s="1"/>
      <c r="DN65" s="1"/>
      <c r="DO65" s="1"/>
      <c r="DP65" s="1"/>
    </row>
    <row r="66" spans="1:120" ht="14.45" customHeight="1">
      <c r="A66" s="1349"/>
      <c r="B66" s="1349"/>
      <c r="C66" s="1511"/>
      <c r="D66" s="1511"/>
      <c r="E66" s="1511"/>
      <c r="F66" s="1511"/>
      <c r="G66" s="1511"/>
      <c r="H66" s="1511"/>
      <c r="I66" s="1511"/>
      <c r="J66" s="1511"/>
      <c r="K66" s="1511"/>
      <c r="L66" s="1511"/>
      <c r="M66" s="1511"/>
      <c r="N66" s="1511"/>
      <c r="O66" s="1511"/>
      <c r="P66" s="1511"/>
      <c r="Q66" s="1511"/>
      <c r="R66" s="1511"/>
      <c r="S66" s="1511"/>
      <c r="T66" s="454"/>
      <c r="U66" s="454"/>
      <c r="V66" s="477"/>
      <c r="W66" s="477"/>
      <c r="X66" s="477"/>
      <c r="Y66" s="477"/>
      <c r="Z66" s="477"/>
      <c r="AA66" s="477"/>
      <c r="AB66" s="477"/>
      <c r="AC66" s="477"/>
      <c r="AD66" s="477"/>
      <c r="AE66" s="477"/>
      <c r="AF66" s="477"/>
      <c r="AG66" s="477"/>
      <c r="AH66" s="433"/>
      <c r="AI66" s="1039"/>
      <c r="AJ66" s="1039"/>
      <c r="AK66" s="1039"/>
      <c r="AL66" s="1039"/>
      <c r="AM66" s="1039"/>
      <c r="AN66" s="1039"/>
      <c r="AO66" s="1039"/>
      <c r="AP66" s="1039"/>
      <c r="AQ66" s="1039"/>
      <c r="AR66" s="1039"/>
      <c r="AS66" s="1039"/>
      <c r="AT66" s="1039"/>
      <c r="AU66" s="1039"/>
      <c r="AV66" s="1039"/>
      <c r="AW66" s="1039"/>
      <c r="AX66" s="1039"/>
      <c r="AY66" s="1039"/>
      <c r="AZ66" s="1039"/>
      <c r="BA66" s="1039"/>
      <c r="BB66" s="1039"/>
      <c r="BC66" s="872"/>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81"/>
      <c r="CC66" s="81"/>
      <c r="CD66" s="5"/>
      <c r="CE66"/>
      <c r="CF66"/>
      <c r="CG66"/>
      <c r="CH66"/>
      <c r="CI66"/>
      <c r="CJ66"/>
      <c r="CK66"/>
      <c r="CL66"/>
      <c r="CM66"/>
      <c r="DG66" s="1"/>
      <c r="DH66" s="1"/>
      <c r="DI66" s="1"/>
      <c r="DJ66" s="1"/>
      <c r="DK66" s="1"/>
      <c r="DL66" s="1"/>
      <c r="DM66" s="1"/>
      <c r="DN66" s="1"/>
      <c r="DO66" s="1"/>
      <c r="DP66" s="1"/>
    </row>
    <row r="67" spans="1:120" ht="14.45" customHeight="1">
      <c r="A67" s="1349"/>
      <c r="B67" s="1349"/>
      <c r="C67" s="1056" t="s">
        <v>910</v>
      </c>
      <c r="D67" s="1057"/>
      <c r="E67" s="1113"/>
      <c r="F67" s="1102" t="s">
        <v>7</v>
      </c>
      <c r="G67" s="1095"/>
      <c r="H67" s="1095"/>
      <c r="I67" s="1095"/>
      <c r="J67" s="1095"/>
      <c r="K67" s="1095"/>
      <c r="L67" s="1095"/>
      <c r="M67" s="1095"/>
      <c r="N67" s="1095"/>
      <c r="O67" s="1095"/>
      <c r="P67" s="1095" t="s">
        <v>8</v>
      </c>
      <c r="Q67" s="1095"/>
      <c r="R67" s="1095"/>
      <c r="S67" s="1095"/>
      <c r="T67" s="1095"/>
      <c r="U67" s="1095"/>
      <c r="V67" s="1095"/>
      <c r="W67" s="1095" t="s">
        <v>9</v>
      </c>
      <c r="X67" s="1095"/>
      <c r="Y67" s="1095"/>
      <c r="Z67" s="1095"/>
      <c r="AA67" s="1095"/>
      <c r="AB67" s="1095"/>
      <c r="AC67" s="1095"/>
      <c r="AD67" s="1095"/>
      <c r="AE67" s="1095"/>
      <c r="AF67" s="1095"/>
      <c r="AG67" s="1100"/>
      <c r="AH67" s="433"/>
      <c r="AI67" s="1098" t="str">
        <f>計算用資料!C167</f>
        <v>□</v>
      </c>
      <c r="AJ67" s="1099"/>
      <c r="AK67" s="1106" t="s">
        <v>19</v>
      </c>
      <c r="AL67" s="1106"/>
      <c r="AM67" s="1106"/>
      <c r="AN67" s="1106"/>
      <c r="AO67" s="1106"/>
      <c r="AP67" s="1106"/>
      <c r="AQ67" s="1106"/>
      <c r="AR67" s="1106"/>
      <c r="AS67" s="1106"/>
      <c r="AT67" s="1026" t="str">
        <f>計算用資料!D167</f>
        <v>□</v>
      </c>
      <c r="AU67" s="1026"/>
      <c r="AV67" s="1105" t="s">
        <v>527</v>
      </c>
      <c r="AW67" s="1106"/>
      <c r="AX67" s="1106"/>
      <c r="AY67" s="1106"/>
      <c r="AZ67" s="1106"/>
      <c r="BA67" s="1106"/>
      <c r="BB67" s="1107"/>
      <c r="BC67" s="478"/>
      <c r="BD67" s="150"/>
      <c r="BE67" s="142"/>
      <c r="BF67" s="151"/>
      <c r="BG67" s="151"/>
      <c r="BH67" s="151"/>
      <c r="BI67" s="142"/>
      <c r="BJ67" s="150"/>
      <c r="BK67" s="150"/>
      <c r="BL67" s="150"/>
      <c r="BM67" s="150"/>
      <c r="BN67" s="150"/>
      <c r="BO67" s="150"/>
      <c r="BP67" s="150"/>
      <c r="BQ67" s="150"/>
      <c r="BR67" s="150"/>
      <c r="BS67" s="150"/>
      <c r="BT67" s="150"/>
      <c r="BU67" s="150"/>
      <c r="BV67" s="150"/>
      <c r="BW67" s="150"/>
      <c r="BX67" s="150"/>
      <c r="BY67" s="150"/>
      <c r="BZ67" s="150"/>
      <c r="CA67" s="139"/>
      <c r="CB67" s="81"/>
      <c r="CC67" s="81"/>
      <c r="CD67" s="5"/>
      <c r="CE67"/>
      <c r="CF67"/>
      <c r="CG67"/>
      <c r="CH67"/>
      <c r="CI67"/>
      <c r="CJ67"/>
      <c r="CK67"/>
      <c r="CL67"/>
      <c r="CM67"/>
      <c r="DG67" s="1"/>
      <c r="DH67" s="1"/>
      <c r="DI67" s="1"/>
      <c r="DJ67" s="1"/>
      <c r="DK67" s="1"/>
      <c r="DL67" s="1"/>
      <c r="DM67" s="1"/>
      <c r="DN67" s="1"/>
      <c r="DO67" s="1"/>
      <c r="DP67" s="1"/>
    </row>
    <row r="68" spans="1:120" ht="14.45" customHeight="1">
      <c r="A68" s="1349"/>
      <c r="B68" s="1349"/>
      <c r="C68" s="1059"/>
      <c r="D68" s="1060"/>
      <c r="E68" s="1368"/>
      <c r="F68" s="970"/>
      <c r="G68" s="971"/>
      <c r="H68" s="971"/>
      <c r="I68" s="971"/>
      <c r="J68" s="971"/>
      <c r="K68" s="971"/>
      <c r="L68" s="971"/>
      <c r="M68" s="971"/>
      <c r="N68" s="971"/>
      <c r="O68" s="1072"/>
      <c r="P68" s="1253" t="s">
        <v>533</v>
      </c>
      <c r="Q68" s="1253"/>
      <c r="R68" s="1253"/>
      <c r="S68" s="1253"/>
      <c r="T68" s="1253"/>
      <c r="U68" s="1253"/>
      <c r="V68" s="1253"/>
      <c r="W68" s="1097"/>
      <c r="X68" s="1097"/>
      <c r="Y68" s="1097"/>
      <c r="Z68" s="1097"/>
      <c r="AA68" s="1097"/>
      <c r="AB68" s="1097"/>
      <c r="AC68" s="1097"/>
      <c r="AD68" s="1097"/>
      <c r="AE68" s="1097"/>
      <c r="AF68" s="1097"/>
      <c r="AG68" s="1258"/>
      <c r="AH68" s="433"/>
      <c r="AI68" s="1251" t="s">
        <v>145</v>
      </c>
      <c r="AJ68" s="1251"/>
      <c r="AK68" s="1251"/>
      <c r="AL68" s="1251"/>
      <c r="AM68" s="1251"/>
      <c r="AN68" s="1251"/>
      <c r="AO68" s="1251"/>
      <c r="AP68" s="1251"/>
      <c r="AQ68" s="1251"/>
      <c r="AR68" s="1251"/>
      <c r="AS68" s="1251"/>
      <c r="AT68" s="1251"/>
      <c r="AU68" s="1251"/>
      <c r="AV68" s="1251"/>
      <c r="AW68" s="1251"/>
      <c r="AX68" s="1251"/>
      <c r="AY68" s="1251"/>
      <c r="AZ68" s="1251"/>
      <c r="BA68" s="1251"/>
      <c r="BB68" s="1251"/>
      <c r="BC68" s="479"/>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85"/>
      <c r="CB68" s="81"/>
      <c r="CC68" s="81"/>
      <c r="CD68" s="5"/>
      <c r="CE68"/>
      <c r="CF68"/>
      <c r="CG68"/>
      <c r="CH68"/>
      <c r="CI68"/>
      <c r="CJ68"/>
      <c r="CK68"/>
      <c r="CL68"/>
      <c r="CM68"/>
      <c r="DG68" s="1"/>
      <c r="DH68" s="1"/>
      <c r="DI68" s="1"/>
      <c r="DJ68" s="1"/>
      <c r="DK68" s="1"/>
      <c r="DL68" s="1"/>
      <c r="DM68" s="1"/>
      <c r="DN68" s="1"/>
      <c r="DO68" s="1"/>
      <c r="DP68" s="1"/>
    </row>
    <row r="69" spans="1:120" ht="14.45" customHeight="1">
      <c r="A69" s="1349"/>
      <c r="B69" s="1349"/>
      <c r="C69" s="1059"/>
      <c r="D69" s="1060"/>
      <c r="E69" s="1368"/>
      <c r="F69" s="1102" t="s">
        <v>10</v>
      </c>
      <c r="G69" s="1095"/>
      <c r="H69" s="1095"/>
      <c r="I69" s="1095"/>
      <c r="J69" s="1095"/>
      <c r="K69" s="1095"/>
      <c r="L69" s="1095"/>
      <c r="M69" s="1095"/>
      <c r="N69" s="1095"/>
      <c r="O69" s="1095"/>
      <c r="P69" s="1095" t="s">
        <v>903</v>
      </c>
      <c r="Q69" s="1095"/>
      <c r="R69" s="1095"/>
      <c r="S69" s="1095"/>
      <c r="T69" s="1095"/>
      <c r="U69" s="1095"/>
      <c r="V69" s="1095"/>
      <c r="W69" s="1095" t="s">
        <v>532</v>
      </c>
      <c r="X69" s="1095"/>
      <c r="Y69" s="1095"/>
      <c r="Z69" s="1095"/>
      <c r="AA69" s="1095"/>
      <c r="AB69" s="1095"/>
      <c r="AC69" s="1095"/>
      <c r="AD69" s="1095"/>
      <c r="AE69" s="1095"/>
      <c r="AF69" s="1095"/>
      <c r="AG69" s="1100"/>
      <c r="AH69" s="433"/>
      <c r="AI69" s="1252"/>
      <c r="AJ69" s="1252"/>
      <c r="AK69" s="1252"/>
      <c r="AL69" s="1252"/>
      <c r="AM69" s="1252"/>
      <c r="AN69" s="1252"/>
      <c r="AO69" s="1252"/>
      <c r="AP69" s="1252"/>
      <c r="AQ69" s="1252"/>
      <c r="AR69" s="1252"/>
      <c r="AS69" s="1252"/>
      <c r="AT69" s="1252"/>
      <c r="AU69" s="1252"/>
      <c r="AV69" s="1252"/>
      <c r="AW69" s="1252"/>
      <c r="AX69" s="1252"/>
      <c r="AY69" s="1252"/>
      <c r="AZ69" s="1252"/>
      <c r="BA69" s="1252"/>
      <c r="BB69" s="1252"/>
      <c r="BC69" s="479"/>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81"/>
      <c r="CD69" s="5"/>
      <c r="CE69"/>
      <c r="CF69"/>
      <c r="CG69"/>
      <c r="CH69"/>
      <c r="CI69"/>
      <c r="CJ69"/>
      <c r="CK69"/>
      <c r="CL69"/>
      <c r="CM69"/>
      <c r="DG69" s="1"/>
      <c r="DH69" s="1"/>
      <c r="DI69" s="1"/>
      <c r="DJ69" s="1"/>
      <c r="DK69" s="1"/>
      <c r="DL69" s="1"/>
      <c r="DM69" s="1"/>
      <c r="DN69" s="1"/>
      <c r="DO69" s="1"/>
      <c r="DP69" s="1"/>
    </row>
    <row r="70" spans="1:120" ht="14.45" customHeight="1">
      <c r="A70" s="1349"/>
      <c r="B70" s="1349"/>
      <c r="C70" s="1062"/>
      <c r="D70" s="1063"/>
      <c r="E70" s="1369"/>
      <c r="F70" s="1101" t="s">
        <v>67</v>
      </c>
      <c r="G70" s="1049"/>
      <c r="H70" s="1049"/>
      <c r="I70" s="1049"/>
      <c r="J70" s="1049"/>
      <c r="K70" s="1049"/>
      <c r="L70" s="1049"/>
      <c r="M70" s="1049"/>
      <c r="N70" s="1049"/>
      <c r="O70" s="1054"/>
      <c r="P70" s="1048" t="s">
        <v>67</v>
      </c>
      <c r="Q70" s="1049"/>
      <c r="R70" s="1049"/>
      <c r="S70" s="1049"/>
      <c r="T70" s="1049"/>
      <c r="U70" s="1049"/>
      <c r="V70" s="1054"/>
      <c r="W70" s="1048" t="s">
        <v>67</v>
      </c>
      <c r="X70" s="1049"/>
      <c r="Y70" s="1049"/>
      <c r="Z70" s="1049"/>
      <c r="AA70" s="1049"/>
      <c r="AB70" s="1049"/>
      <c r="AC70" s="1049"/>
      <c r="AD70" s="1049"/>
      <c r="AE70" s="1049"/>
      <c r="AF70" s="1049"/>
      <c r="AG70" s="1050"/>
      <c r="AH70" s="433"/>
      <c r="AI70" s="433"/>
      <c r="AJ70" s="433"/>
      <c r="AK70" s="433"/>
      <c r="AL70" s="433"/>
      <c r="AM70" s="433"/>
      <c r="AN70" s="433"/>
      <c r="AO70" s="433"/>
      <c r="AP70" s="433"/>
      <c r="AQ70" s="433"/>
      <c r="AR70" s="433"/>
      <c r="AS70" s="433"/>
      <c r="AT70" s="433"/>
      <c r="AU70" s="433"/>
      <c r="AV70" s="433"/>
      <c r="AW70" s="433"/>
      <c r="AX70" s="433"/>
      <c r="AY70" s="433"/>
      <c r="AZ70" s="433"/>
      <c r="BA70" s="433"/>
      <c r="BB70" s="433"/>
      <c r="BC70" s="317"/>
      <c r="CA70" s="81"/>
      <c r="CB70" s="81"/>
      <c r="CC70" s="81"/>
      <c r="CD70" s="5"/>
      <c r="CE70"/>
      <c r="CF70"/>
      <c r="CG70"/>
      <c r="CH70"/>
      <c r="CI70"/>
      <c r="CJ70"/>
      <c r="CK70"/>
      <c r="CL70"/>
      <c r="CM70"/>
      <c r="DG70" s="1"/>
      <c r="DH70" s="1"/>
      <c r="DI70" s="1"/>
      <c r="DJ70" s="1"/>
      <c r="DK70" s="1"/>
      <c r="DL70" s="1"/>
      <c r="DM70" s="1"/>
      <c r="DN70" s="1"/>
      <c r="DO70" s="1"/>
      <c r="DP70" s="1"/>
    </row>
    <row r="71" spans="1:120" ht="14.45" customHeight="1">
      <c r="A71" s="1349"/>
      <c r="B71" s="1349"/>
      <c r="C71" s="480"/>
      <c r="D71" s="480"/>
      <c r="E71" s="480"/>
      <c r="F71" s="481"/>
      <c r="G71" s="482"/>
      <c r="H71" s="482"/>
      <c r="I71" s="482"/>
      <c r="J71" s="482"/>
      <c r="K71" s="482"/>
      <c r="L71" s="482"/>
      <c r="M71" s="482"/>
      <c r="N71" s="482"/>
      <c r="O71" s="482"/>
      <c r="P71" s="483"/>
      <c r="Q71" s="483"/>
      <c r="R71" s="483"/>
      <c r="S71" s="483"/>
      <c r="T71" s="483"/>
      <c r="U71" s="483"/>
      <c r="V71" s="483"/>
      <c r="W71" s="483"/>
      <c r="X71" s="483"/>
      <c r="Y71" s="483"/>
      <c r="Z71" s="483"/>
      <c r="AA71" s="483"/>
      <c r="AB71" s="483"/>
      <c r="AC71" s="483"/>
      <c r="AD71" s="483"/>
      <c r="AE71" s="483"/>
      <c r="AF71" s="483"/>
      <c r="AG71" s="433"/>
      <c r="AH71" s="433"/>
      <c r="AI71" s="1536" t="s">
        <v>71</v>
      </c>
      <c r="AJ71" s="1537"/>
      <c r="AK71" s="1537"/>
      <c r="AL71" s="1537"/>
      <c r="AM71" s="1538"/>
      <c r="AN71" s="433"/>
      <c r="AO71" s="1076" t="s">
        <v>68</v>
      </c>
      <c r="AP71" s="1076"/>
      <c r="AQ71" s="1077"/>
      <c r="AR71" s="1077"/>
      <c r="AS71" s="1077"/>
      <c r="AT71" s="1077"/>
      <c r="AU71" s="1078"/>
      <c r="AV71" s="1085" t="s">
        <v>69</v>
      </c>
      <c r="AW71" s="1086">
        <v>1</v>
      </c>
      <c r="AX71" s="1087"/>
      <c r="AY71" s="1087"/>
      <c r="AZ71" s="1087"/>
      <c r="BA71" s="1087"/>
      <c r="BB71" s="1088"/>
      <c r="BC71" s="454"/>
      <c r="BD71" s="86"/>
      <c r="BE71" s="86"/>
      <c r="BF71" s="86"/>
      <c r="BG71" s="86"/>
      <c r="BH71" s="86"/>
      <c r="BI71" s="86"/>
      <c r="BJ71" s="86"/>
      <c r="BK71" s="86"/>
      <c r="BL71" s="86"/>
      <c r="BM71" s="86"/>
      <c r="BN71" s="86"/>
      <c r="BO71" s="81"/>
      <c r="BP71" s="81"/>
      <c r="BQ71" s="81"/>
      <c r="BR71" s="5"/>
      <c r="BS71"/>
      <c r="BT71"/>
      <c r="BU71"/>
      <c r="BV71"/>
      <c r="BW71"/>
      <c r="BX71"/>
      <c r="BY71"/>
      <c r="BZ71"/>
      <c r="CA71"/>
      <c r="DG71" s="1"/>
      <c r="DH71" s="1"/>
      <c r="DI71" s="1"/>
      <c r="DJ71" s="1"/>
      <c r="DK71" s="1"/>
      <c r="DL71" s="1"/>
      <c r="DM71" s="1"/>
      <c r="DN71" s="1"/>
      <c r="DO71" s="1"/>
      <c r="DP71" s="1"/>
    </row>
    <row r="72" spans="1:120" ht="14.45" customHeight="1">
      <c r="A72" s="1349"/>
      <c r="B72" s="1349"/>
      <c r="C72" s="1056" t="s">
        <v>911</v>
      </c>
      <c r="D72" s="1057"/>
      <c r="E72" s="1113"/>
      <c r="F72" s="1645" t="s">
        <v>1</v>
      </c>
      <c r="G72" s="1646"/>
      <c r="H72" s="1646"/>
      <c r="I72" s="1646"/>
      <c r="J72" s="1646"/>
      <c r="K72" s="1646"/>
      <c r="L72" s="1646"/>
      <c r="M72" s="1646"/>
      <c r="N72" s="1645" t="s">
        <v>582</v>
      </c>
      <c r="O72" s="1646"/>
      <c r="P72" s="1646"/>
      <c r="Q72" s="1646"/>
      <c r="R72" s="1646"/>
      <c r="S72" s="1646"/>
      <c r="T72" s="1647"/>
      <c r="U72" s="1646" t="s">
        <v>904</v>
      </c>
      <c r="V72" s="1646"/>
      <c r="W72" s="1646"/>
      <c r="X72" s="1646"/>
      <c r="Y72" s="1646"/>
      <c r="Z72" s="1646"/>
      <c r="AA72" s="1645" t="s">
        <v>1227</v>
      </c>
      <c r="AB72" s="1646"/>
      <c r="AC72" s="1646"/>
      <c r="AD72" s="1646"/>
      <c r="AE72" s="1646"/>
      <c r="AF72" s="1646"/>
      <c r="AG72" s="1647"/>
      <c r="AH72" s="433"/>
      <c r="AI72" s="484" t="s">
        <v>72</v>
      </c>
      <c r="AJ72" s="485" t="s">
        <v>73</v>
      </c>
      <c r="AK72" s="485" t="s">
        <v>74</v>
      </c>
      <c r="AL72" s="485" t="s">
        <v>75</v>
      </c>
      <c r="AM72" s="486" t="s">
        <v>76</v>
      </c>
      <c r="AN72" s="433"/>
      <c r="AO72" s="1079"/>
      <c r="AP72" s="1079"/>
      <c r="AQ72" s="1080"/>
      <c r="AR72" s="1080"/>
      <c r="AS72" s="1080"/>
      <c r="AT72" s="1080"/>
      <c r="AU72" s="1081"/>
      <c r="AV72" s="1085"/>
      <c r="AW72" s="1089"/>
      <c r="AX72" s="1090"/>
      <c r="AY72" s="1090"/>
      <c r="AZ72" s="1090"/>
      <c r="BA72" s="1090"/>
      <c r="BB72" s="1091"/>
      <c r="BC72" s="454"/>
      <c r="BD72" s="86"/>
      <c r="BE72" s="86"/>
      <c r="BF72" s="86"/>
      <c r="BG72" s="86"/>
      <c r="BH72" s="86"/>
      <c r="BI72" s="86"/>
      <c r="BJ72" s="86"/>
      <c r="BK72" s="86"/>
      <c r="BL72" s="86"/>
      <c r="BM72" s="86"/>
      <c r="BN72" s="86"/>
      <c r="BO72" s="81"/>
      <c r="BP72" s="81"/>
      <c r="BQ72" s="81"/>
      <c r="BR72" s="5"/>
      <c r="BS72"/>
      <c r="BT72"/>
      <c r="BU72"/>
      <c r="BV72"/>
      <c r="BW72"/>
      <c r="BX72"/>
      <c r="BY72"/>
      <c r="BZ72"/>
      <c r="CA72"/>
      <c r="DG72" s="1"/>
      <c r="DH72" s="1"/>
      <c r="DI72" s="1"/>
      <c r="DJ72" s="1"/>
      <c r="DK72" s="1"/>
      <c r="DL72" s="1"/>
      <c r="DM72" s="1"/>
      <c r="DN72" s="1"/>
      <c r="DO72" s="1"/>
      <c r="DP72" s="1"/>
    </row>
    <row r="73" spans="1:120" ht="14.45" customHeight="1">
      <c r="A73" s="317"/>
      <c r="B73" s="317"/>
      <c r="C73" s="1062"/>
      <c r="D73" s="1063"/>
      <c r="E73" s="1369"/>
      <c r="F73" s="1103">
        <f>医療費・寄附金!C4</f>
        <v>0</v>
      </c>
      <c r="G73" s="1104"/>
      <c r="H73" s="1104"/>
      <c r="I73" s="1104"/>
      <c r="J73" s="1104"/>
      <c r="K73" s="1104"/>
      <c r="L73" s="1104"/>
      <c r="M73" s="487" t="s">
        <v>67</v>
      </c>
      <c r="N73" s="1103">
        <f>医療費・寄附金!C11</f>
        <v>0</v>
      </c>
      <c r="O73" s="1104"/>
      <c r="P73" s="1104"/>
      <c r="Q73" s="1104"/>
      <c r="R73" s="1104"/>
      <c r="S73" s="1104"/>
      <c r="T73" s="488" t="s">
        <v>67</v>
      </c>
      <c r="U73" s="1104">
        <f>医療費・寄附金!F4</f>
        <v>0</v>
      </c>
      <c r="V73" s="1104"/>
      <c r="W73" s="1104"/>
      <c r="X73" s="1104"/>
      <c r="Y73" s="1104"/>
      <c r="Z73" s="487" t="s">
        <v>67</v>
      </c>
      <c r="AA73" s="1103">
        <f>医療費・寄附金!F11</f>
        <v>0</v>
      </c>
      <c r="AB73" s="1104"/>
      <c r="AC73" s="1104"/>
      <c r="AD73" s="1104"/>
      <c r="AE73" s="1104"/>
      <c r="AF73" s="1104"/>
      <c r="AG73" s="488" t="s">
        <v>67</v>
      </c>
      <c r="AH73" s="433"/>
      <c r="AI73" s="489"/>
      <c r="AJ73" s="490"/>
      <c r="AK73" s="490"/>
      <c r="AL73" s="490"/>
      <c r="AM73" s="491"/>
      <c r="AN73" s="433"/>
      <c r="AO73" s="1082"/>
      <c r="AP73" s="1082"/>
      <c r="AQ73" s="1083"/>
      <c r="AR73" s="1083"/>
      <c r="AS73" s="1083"/>
      <c r="AT73" s="1083"/>
      <c r="AU73" s="1084"/>
      <c r="AV73" s="1085"/>
      <c r="AW73" s="1092"/>
      <c r="AX73" s="1093"/>
      <c r="AY73" s="1093"/>
      <c r="AZ73" s="1093"/>
      <c r="BA73" s="1093"/>
      <c r="BB73" s="1094"/>
      <c r="BC73" s="454"/>
      <c r="BD73" s="86"/>
      <c r="BE73" s="86"/>
      <c r="BF73" s="86"/>
      <c r="BG73" s="86"/>
      <c r="BH73" s="86"/>
      <c r="BI73" s="86"/>
      <c r="BJ73" s="86"/>
      <c r="BK73" s="86"/>
      <c r="BL73" s="86"/>
      <c r="BM73" s="86"/>
      <c r="BN73" s="86"/>
      <c r="BO73" s="81"/>
      <c r="BP73" s="81"/>
      <c r="BQ73" s="81"/>
      <c r="BR73" s="5"/>
      <c r="BS73"/>
      <c r="BT73"/>
      <c r="BU73"/>
      <c r="BV73"/>
      <c r="BW73"/>
      <c r="BX73"/>
      <c r="BY73"/>
      <c r="BZ73"/>
      <c r="CA73"/>
      <c r="DG73" s="1"/>
      <c r="DH73" s="1"/>
      <c r="DI73" s="1"/>
      <c r="DJ73" s="1"/>
      <c r="DK73" s="1"/>
      <c r="DL73" s="1"/>
      <c r="DM73" s="1"/>
      <c r="DN73" s="1"/>
      <c r="DO73" s="1"/>
      <c r="DP73" s="1"/>
    </row>
    <row r="74" spans="1:120" ht="12" customHeight="1">
      <c r="A74" s="317"/>
      <c r="B74" s="317"/>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81"/>
      <c r="BE74" s="81"/>
      <c r="BF74" s="81"/>
      <c r="BG74" s="81"/>
      <c r="BH74" s="81"/>
      <c r="BI74" s="81"/>
      <c r="BJ74" s="81"/>
      <c r="BK74" s="81"/>
      <c r="DD74" s="81"/>
      <c r="DE74" s="81"/>
      <c r="DF74" s="81"/>
    </row>
    <row r="75" spans="1:120" ht="12.95" customHeight="1">
      <c r="A75" s="317"/>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492"/>
      <c r="AI75" s="492"/>
      <c r="AJ75" s="492"/>
      <c r="AK75" s="492"/>
      <c r="AL75" s="492"/>
      <c r="AM75" s="492"/>
      <c r="AN75" s="492"/>
      <c r="AO75" s="492"/>
      <c r="AP75" s="492"/>
      <c r="AQ75" s="492"/>
      <c r="AR75" s="492"/>
      <c r="AS75" s="492"/>
      <c r="AT75" s="492"/>
      <c r="AU75" s="492"/>
      <c r="AV75" s="492"/>
      <c r="AW75" s="492"/>
      <c r="AX75" s="492"/>
      <c r="AY75" s="492"/>
      <c r="AZ75" s="492"/>
      <c r="BA75" s="492"/>
      <c r="BB75" s="492"/>
      <c r="BC75" s="492"/>
      <c r="BD75" s="3"/>
      <c r="BE75" s="3"/>
      <c r="BF75" s="3"/>
      <c r="BG75" s="3"/>
      <c r="BH75" s="3"/>
      <c r="BI75" s="3"/>
      <c r="BJ75" s="3"/>
      <c r="BK75" s="3"/>
    </row>
    <row r="76" spans="1:120" s="106" customFormat="1" ht="15" customHeight="1">
      <c r="A76" s="493"/>
      <c r="B76" s="1019" t="s">
        <v>1033</v>
      </c>
      <c r="C76" s="1019"/>
      <c r="D76" s="1019"/>
      <c r="E76" s="1019"/>
      <c r="F76" s="1019"/>
      <c r="G76" s="1019"/>
      <c r="H76" s="1019"/>
      <c r="I76" s="1019"/>
      <c r="J76" s="1019"/>
      <c r="K76" s="1019"/>
      <c r="L76" s="1019"/>
      <c r="M76" s="1019"/>
      <c r="N76" s="1019"/>
      <c r="O76" s="1019"/>
      <c r="P76" s="1019"/>
      <c r="Q76" s="1019"/>
      <c r="R76" s="1019"/>
      <c r="S76" s="1019"/>
      <c r="T76" s="493"/>
      <c r="U76" s="1019" t="s">
        <v>1034</v>
      </c>
      <c r="V76" s="1019"/>
      <c r="W76" s="1019"/>
      <c r="X76" s="1019"/>
      <c r="Y76" s="1019"/>
      <c r="Z76" s="1019"/>
      <c r="AA76" s="1019"/>
      <c r="AB76" s="1019"/>
      <c r="AC76" s="1019"/>
      <c r="AD76" s="1019"/>
      <c r="AE76" s="1019"/>
      <c r="AF76" s="1019"/>
      <c r="AG76" s="1019"/>
      <c r="AH76" s="1019"/>
      <c r="AI76" s="1019"/>
      <c r="AJ76" s="1019"/>
      <c r="AK76" s="1019"/>
      <c r="AL76" s="1019"/>
      <c r="AM76" s="494"/>
      <c r="AN76" s="1019" t="s">
        <v>1035</v>
      </c>
      <c r="AO76" s="1180"/>
      <c r="AP76" s="1180"/>
      <c r="AQ76" s="1180"/>
      <c r="AR76" s="1180"/>
      <c r="AS76" s="1180"/>
      <c r="AT76" s="1180"/>
      <c r="AU76" s="1180"/>
      <c r="AV76" s="1180"/>
      <c r="AW76" s="1180"/>
      <c r="AX76" s="1180"/>
      <c r="AY76" s="1180"/>
      <c r="AZ76" s="1180"/>
      <c r="BA76" s="1180"/>
      <c r="BB76" s="1180"/>
      <c r="BC76" s="494"/>
      <c r="BD76" s="114"/>
      <c r="BE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S76" s="130"/>
      <c r="CT76" s="131"/>
      <c r="CU76" s="131"/>
      <c r="CV76" s="131"/>
      <c r="CW76" s="131"/>
      <c r="CX76" s="131"/>
      <c r="CY76" s="131"/>
      <c r="CZ76" s="131"/>
      <c r="DA76" s="131"/>
      <c r="DB76" s="131"/>
    </row>
    <row r="77" spans="1:120" ht="15" customHeight="1">
      <c r="A77" s="317"/>
      <c r="B77" s="1051" t="s">
        <v>916</v>
      </c>
      <c r="C77" s="1052"/>
      <c r="D77" s="1052"/>
      <c r="E77" s="1052"/>
      <c r="F77" s="1052"/>
      <c r="G77" s="1053"/>
      <c r="H77" s="1516">
        <f>給与・年金!D16</f>
        <v>0</v>
      </c>
      <c r="I77" s="1517"/>
      <c r="J77" s="1517"/>
      <c r="K77" s="1517"/>
      <c r="L77" s="1517"/>
      <c r="M77" s="1517"/>
      <c r="N77" s="1517"/>
      <c r="O77" s="1517"/>
      <c r="P77" s="1517"/>
      <c r="Q77" s="1517"/>
      <c r="R77" s="1517"/>
      <c r="S77" s="1518"/>
      <c r="T77" s="495"/>
      <c r="U77" s="1315" t="s">
        <v>85</v>
      </c>
      <c r="V77" s="1316"/>
      <c r="W77" s="1002" t="s">
        <v>89</v>
      </c>
      <c r="X77" s="1016"/>
      <c r="Y77" s="1016"/>
      <c r="Z77" s="1016"/>
      <c r="AA77" s="1003"/>
      <c r="AB77" s="1002" t="s">
        <v>104</v>
      </c>
      <c r="AC77" s="1016"/>
      <c r="AD77" s="1016"/>
      <c r="AE77" s="1016"/>
      <c r="AF77" s="1016"/>
      <c r="AG77" s="1003"/>
      <c r="AH77" s="1002" t="s">
        <v>105</v>
      </c>
      <c r="AI77" s="1016"/>
      <c r="AJ77" s="1016"/>
      <c r="AK77" s="1016"/>
      <c r="AL77" s="1003"/>
      <c r="AM77" s="495"/>
      <c r="AN77" s="1002" t="s">
        <v>388</v>
      </c>
      <c r="AO77" s="1003"/>
      <c r="AP77" s="1002" t="s">
        <v>545</v>
      </c>
      <c r="AQ77" s="1016"/>
      <c r="AR77" s="1016"/>
      <c r="AS77" s="1016"/>
      <c r="AT77" s="1003"/>
      <c r="AU77" s="1002" t="s">
        <v>90</v>
      </c>
      <c r="AV77" s="1016"/>
      <c r="AW77" s="1016"/>
      <c r="AX77" s="1016"/>
      <c r="AY77" s="1016"/>
      <c r="AZ77" s="1016"/>
      <c r="BA77" s="1016"/>
      <c r="BB77" s="1003"/>
      <c r="BC77" s="317"/>
      <c r="BE77" s="5"/>
      <c r="BF77" s="109"/>
      <c r="BG77" s="109"/>
      <c r="BH77" s="109"/>
      <c r="BI77" s="109"/>
      <c r="BJ77" s="109"/>
      <c r="BK77" s="109"/>
      <c r="BL77" s="109"/>
      <c r="BM77" s="109"/>
      <c r="BN77" s="109"/>
      <c r="DG77" s="1"/>
      <c r="DH77" s="1"/>
      <c r="DI77" s="1"/>
      <c r="DJ77" s="1"/>
      <c r="DK77" s="1"/>
      <c r="DL77" s="1"/>
      <c r="DM77" s="1"/>
      <c r="DN77" s="1"/>
      <c r="DO77" s="1"/>
      <c r="DP77" s="1"/>
    </row>
    <row r="78" spans="1:120" ht="15" customHeight="1">
      <c r="A78" s="317"/>
      <c r="B78" s="1650" t="s">
        <v>1476</v>
      </c>
      <c r="C78" s="1651"/>
      <c r="D78" s="1651"/>
      <c r="E78" s="1651"/>
      <c r="F78" s="1651"/>
      <c r="G78" s="1652"/>
      <c r="H78" s="1516">
        <f>給与・年金!H16</f>
        <v>0</v>
      </c>
      <c r="I78" s="1517"/>
      <c r="J78" s="1517"/>
      <c r="K78" s="1517"/>
      <c r="L78" s="1517"/>
      <c r="M78" s="1517"/>
      <c r="N78" s="1517"/>
      <c r="O78" s="1517"/>
      <c r="P78" s="1517"/>
      <c r="Q78" s="1517"/>
      <c r="R78" s="1517"/>
      <c r="S78" s="1518"/>
      <c r="T78" s="495"/>
      <c r="U78" s="1017">
        <v>1</v>
      </c>
      <c r="V78" s="1018"/>
      <c r="W78" s="496"/>
      <c r="X78" s="497"/>
      <c r="Y78" s="497"/>
      <c r="Z78" s="497"/>
      <c r="AA78" s="498" t="s">
        <v>67</v>
      </c>
      <c r="AB78" s="1359" t="s">
        <v>106</v>
      </c>
      <c r="AC78" s="1360"/>
      <c r="AD78" s="1360"/>
      <c r="AE78" s="1360"/>
      <c r="AF78" s="1360"/>
      <c r="AG78" s="1361"/>
      <c r="AH78" s="499"/>
      <c r="AI78" s="500"/>
      <c r="AJ78" s="500"/>
      <c r="AK78" s="500"/>
      <c r="AL78" s="501" t="s">
        <v>67</v>
      </c>
      <c r="AM78" s="495"/>
      <c r="AN78" s="1004">
        <v>1</v>
      </c>
      <c r="AO78" s="1005"/>
      <c r="AP78" s="502"/>
      <c r="AQ78" s="503"/>
      <c r="AR78" s="503"/>
      <c r="AS78" s="504"/>
      <c r="AT78" s="501" t="s">
        <v>67</v>
      </c>
      <c r="AU78" s="496"/>
      <c r="AV78" s="497"/>
      <c r="AW78" s="505"/>
      <c r="AX78" s="496"/>
      <c r="AY78" s="497"/>
      <c r="AZ78" s="497"/>
      <c r="BA78" s="497"/>
      <c r="BB78" s="506" t="s">
        <v>513</v>
      </c>
      <c r="BC78" s="317"/>
      <c r="BE78" s="5"/>
      <c r="BF78" s="109"/>
      <c r="BG78" s="109"/>
      <c r="BH78" s="109"/>
      <c r="BI78" s="109"/>
      <c r="BJ78" s="109"/>
      <c r="BK78" s="109"/>
      <c r="BL78" s="109"/>
      <c r="BM78" s="109"/>
      <c r="BN78" s="109"/>
      <c r="DG78" s="1"/>
      <c r="DH78" s="1"/>
      <c r="DI78" s="1"/>
      <c r="DJ78" s="1"/>
      <c r="DK78" s="1"/>
      <c r="DL78" s="1"/>
      <c r="DM78" s="1"/>
      <c r="DN78" s="1"/>
      <c r="DO78" s="1"/>
      <c r="DP78" s="1"/>
    </row>
    <row r="79" spans="1:120" ht="15" customHeight="1">
      <c r="A79" s="317"/>
      <c r="B79" s="1051" t="s">
        <v>917</v>
      </c>
      <c r="C79" s="1052"/>
      <c r="D79" s="1052"/>
      <c r="E79" s="1052"/>
      <c r="F79" s="1052"/>
      <c r="G79" s="1053"/>
      <c r="H79" s="1516">
        <f>給与・年金!N16</f>
        <v>0</v>
      </c>
      <c r="I79" s="1517"/>
      <c r="J79" s="1517"/>
      <c r="K79" s="1517"/>
      <c r="L79" s="1517"/>
      <c r="M79" s="1517"/>
      <c r="N79" s="1517"/>
      <c r="O79" s="1517"/>
      <c r="P79" s="1517"/>
      <c r="Q79" s="1517"/>
      <c r="R79" s="1517"/>
      <c r="S79" s="1518"/>
      <c r="T79" s="495"/>
      <c r="U79" s="1017">
        <v>2</v>
      </c>
      <c r="V79" s="1018"/>
      <c r="W79" s="496"/>
      <c r="X79" s="497"/>
      <c r="Y79" s="497"/>
      <c r="Z79" s="497"/>
      <c r="AA79" s="505"/>
      <c r="AB79" s="1365"/>
      <c r="AC79" s="1366"/>
      <c r="AD79" s="1366"/>
      <c r="AE79" s="1366"/>
      <c r="AF79" s="1366"/>
      <c r="AG79" s="1367"/>
      <c r="AH79" s="499"/>
      <c r="AI79" s="500"/>
      <c r="AJ79" s="500"/>
      <c r="AK79" s="500"/>
      <c r="AL79" s="507"/>
      <c r="AM79" s="495"/>
      <c r="AN79" s="1004">
        <v>2</v>
      </c>
      <c r="AO79" s="1005"/>
      <c r="AP79" s="502"/>
      <c r="AQ79" s="503"/>
      <c r="AR79" s="503"/>
      <c r="AS79" s="508"/>
      <c r="AT79" s="509"/>
      <c r="AU79" s="496"/>
      <c r="AV79" s="497"/>
      <c r="AW79" s="505"/>
      <c r="AX79" s="496"/>
      <c r="AY79" s="497"/>
      <c r="AZ79" s="497"/>
      <c r="BA79" s="497"/>
      <c r="BB79" s="510"/>
      <c r="BC79" s="317"/>
      <c r="BE79" s="5"/>
      <c r="BF79" s="109"/>
      <c r="BG79" s="109"/>
      <c r="BH79" s="109"/>
      <c r="BI79" s="109"/>
      <c r="BJ79" s="109"/>
      <c r="BK79" s="109"/>
      <c r="BL79" s="109"/>
      <c r="BM79" s="109"/>
      <c r="BN79" s="109"/>
      <c r="DG79" s="1"/>
      <c r="DH79" s="1"/>
      <c r="DI79" s="1"/>
      <c r="DJ79" s="1"/>
      <c r="DK79" s="1"/>
      <c r="DL79" s="1"/>
      <c r="DM79" s="1"/>
      <c r="DN79" s="1"/>
      <c r="DO79" s="1"/>
      <c r="DP79" s="1"/>
    </row>
    <row r="80" spans="1:120" ht="15" customHeight="1">
      <c r="A80" s="317"/>
      <c r="B80" s="1397" t="s">
        <v>85</v>
      </c>
      <c r="C80" s="1047"/>
      <c r="D80" s="1046" t="s">
        <v>86</v>
      </c>
      <c r="E80" s="1046"/>
      <c r="F80" s="1046"/>
      <c r="G80" s="1046"/>
      <c r="H80" s="1046"/>
      <c r="I80" s="1047"/>
      <c r="J80" s="1397" t="s">
        <v>87</v>
      </c>
      <c r="K80" s="1046"/>
      <c r="L80" s="1046"/>
      <c r="M80" s="1046"/>
      <c r="N80" s="1047"/>
      <c r="O80" s="1397" t="s">
        <v>88</v>
      </c>
      <c r="P80" s="1046"/>
      <c r="Q80" s="1046"/>
      <c r="R80" s="1046"/>
      <c r="S80" s="1047"/>
      <c r="T80" s="495"/>
      <c r="U80" s="1017">
        <v>3</v>
      </c>
      <c r="V80" s="1018"/>
      <c r="W80" s="496"/>
      <c r="X80" s="497"/>
      <c r="Y80" s="497"/>
      <c r="Z80" s="497"/>
      <c r="AA80" s="505"/>
      <c r="AB80" s="1013" t="s">
        <v>168</v>
      </c>
      <c r="AC80" s="511" t="s">
        <v>49</v>
      </c>
      <c r="AD80" s="1002" t="s">
        <v>107</v>
      </c>
      <c r="AE80" s="1016"/>
      <c r="AF80" s="1016"/>
      <c r="AG80" s="1003"/>
      <c r="AH80" s="499"/>
      <c r="AI80" s="500"/>
      <c r="AJ80" s="500"/>
      <c r="AK80" s="500"/>
      <c r="AL80" s="507"/>
      <c r="AM80" s="495"/>
      <c r="AN80" s="1004">
        <v>3</v>
      </c>
      <c r="AO80" s="1005"/>
      <c r="AP80" s="502"/>
      <c r="AQ80" s="503"/>
      <c r="AR80" s="503"/>
      <c r="AS80" s="508"/>
      <c r="AT80" s="509"/>
      <c r="AU80" s="496"/>
      <c r="AV80" s="497"/>
      <c r="AW80" s="505"/>
      <c r="AX80" s="496"/>
      <c r="AY80" s="497"/>
      <c r="AZ80" s="497"/>
      <c r="BA80" s="497"/>
      <c r="BB80" s="510"/>
      <c r="BC80" s="317"/>
      <c r="BE80" s="5"/>
      <c r="BF80" s="109"/>
      <c r="BG80" s="109"/>
      <c r="BH80" s="109"/>
      <c r="BI80" s="109"/>
      <c r="BJ80" s="109"/>
      <c r="BK80" s="109"/>
      <c r="BL80" s="109"/>
      <c r="BM80" s="109"/>
      <c r="BN80" s="109"/>
      <c r="DG80" s="1"/>
      <c r="DH80" s="1"/>
      <c r="DI80" s="1"/>
      <c r="DJ80" s="1"/>
      <c r="DK80" s="1"/>
      <c r="DL80" s="1"/>
      <c r="DM80" s="1"/>
      <c r="DN80" s="1"/>
      <c r="DO80" s="1"/>
      <c r="DP80" s="1"/>
    </row>
    <row r="81" spans="1:120" ht="15" customHeight="1">
      <c r="A81" s="317"/>
      <c r="B81" s="1040">
        <v>1</v>
      </c>
      <c r="C81" s="1041"/>
      <c r="D81" s="512"/>
      <c r="E81" s="512"/>
      <c r="F81" s="512"/>
      <c r="G81" s="512"/>
      <c r="H81" s="512"/>
      <c r="I81" s="513" t="s">
        <v>67</v>
      </c>
      <c r="J81" s="514"/>
      <c r="K81" s="515"/>
      <c r="L81" s="515"/>
      <c r="M81" s="317"/>
      <c r="N81" s="513" t="s">
        <v>91</v>
      </c>
      <c r="O81" s="1042">
        <f>給与・年金!D18</f>
        <v>0</v>
      </c>
      <c r="P81" s="1043"/>
      <c r="Q81" s="1043"/>
      <c r="R81" s="1043"/>
      <c r="S81" s="516" t="s">
        <v>67</v>
      </c>
      <c r="T81" s="517"/>
      <c r="U81" s="1017">
        <v>4</v>
      </c>
      <c r="V81" s="1018"/>
      <c r="W81" s="496"/>
      <c r="X81" s="497"/>
      <c r="Y81" s="497"/>
      <c r="Z81" s="497"/>
      <c r="AA81" s="505"/>
      <c r="AB81" s="1014"/>
      <c r="AC81" s="511" t="s">
        <v>497</v>
      </c>
      <c r="AD81" s="1002" t="s">
        <v>108</v>
      </c>
      <c r="AE81" s="1016"/>
      <c r="AF81" s="1016"/>
      <c r="AG81" s="1003"/>
      <c r="AH81" s="499"/>
      <c r="AI81" s="500"/>
      <c r="AJ81" s="500"/>
      <c r="AK81" s="500"/>
      <c r="AL81" s="507"/>
      <c r="AM81" s="495"/>
      <c r="AN81" s="1004">
        <v>4</v>
      </c>
      <c r="AO81" s="1005"/>
      <c r="AP81" s="502"/>
      <c r="AQ81" s="503"/>
      <c r="AR81" s="503"/>
      <c r="AS81" s="508"/>
      <c r="AT81" s="509"/>
      <c r="AU81" s="496"/>
      <c r="AV81" s="497"/>
      <c r="AW81" s="505"/>
      <c r="AX81" s="496"/>
      <c r="AY81" s="497"/>
      <c r="AZ81" s="497"/>
      <c r="BA81" s="497"/>
      <c r="BB81" s="510"/>
      <c r="BC81" s="317"/>
      <c r="BE81" s="5"/>
      <c r="BF81" s="109"/>
      <c r="BG81" s="109"/>
      <c r="BH81" s="109"/>
      <c r="BI81" s="109"/>
      <c r="BJ81" s="109"/>
      <c r="BK81" s="109"/>
      <c r="BL81" s="109"/>
      <c r="BM81" s="109"/>
      <c r="BN81" s="109"/>
      <c r="DG81" s="1"/>
      <c r="DH81" s="1"/>
      <c r="DI81" s="1"/>
      <c r="DJ81" s="1"/>
      <c r="DK81" s="1"/>
      <c r="DL81" s="1"/>
      <c r="DM81" s="1"/>
      <c r="DN81" s="1"/>
      <c r="DO81" s="1"/>
      <c r="DP81" s="1"/>
    </row>
    <row r="82" spans="1:120" ht="15" customHeight="1">
      <c r="A82" s="317"/>
      <c r="B82" s="1040">
        <v>2</v>
      </c>
      <c r="C82" s="1041"/>
      <c r="D82" s="512"/>
      <c r="E82" s="512"/>
      <c r="F82" s="512"/>
      <c r="G82" s="512"/>
      <c r="H82" s="512"/>
      <c r="I82" s="518"/>
      <c r="J82" s="519"/>
      <c r="K82" s="518"/>
      <c r="L82" s="518"/>
      <c r="M82" s="518"/>
      <c r="N82" s="520"/>
      <c r="O82" s="1042">
        <f>給与・年金!E18</f>
        <v>0</v>
      </c>
      <c r="P82" s="1043"/>
      <c r="Q82" s="1043"/>
      <c r="R82" s="1043"/>
      <c r="S82" s="516"/>
      <c r="T82" s="517"/>
      <c r="U82" s="1017">
        <v>5</v>
      </c>
      <c r="V82" s="1018"/>
      <c r="W82" s="496"/>
      <c r="X82" s="497"/>
      <c r="Y82" s="497"/>
      <c r="Z82" s="497"/>
      <c r="AA82" s="505"/>
      <c r="AB82" s="1014"/>
      <c r="AC82" s="511" t="s">
        <v>498</v>
      </c>
      <c r="AD82" s="1002" t="s">
        <v>109</v>
      </c>
      <c r="AE82" s="1016"/>
      <c r="AF82" s="1016"/>
      <c r="AG82" s="1003"/>
      <c r="AH82" s="499"/>
      <c r="AI82" s="500"/>
      <c r="AJ82" s="500"/>
      <c r="AK82" s="500"/>
      <c r="AL82" s="507"/>
      <c r="AM82" s="495"/>
      <c r="AN82" s="1004">
        <v>5</v>
      </c>
      <c r="AO82" s="1005"/>
      <c r="AP82" s="502"/>
      <c r="AQ82" s="503"/>
      <c r="AR82" s="503"/>
      <c r="AS82" s="508"/>
      <c r="AT82" s="509"/>
      <c r="AU82" s="496"/>
      <c r="AV82" s="497"/>
      <c r="AW82" s="505"/>
      <c r="AX82" s="496"/>
      <c r="AY82" s="497"/>
      <c r="AZ82" s="497"/>
      <c r="BA82" s="497"/>
      <c r="BB82" s="510"/>
      <c r="BC82" s="317"/>
      <c r="BE82" s="5"/>
      <c r="BF82" s="109"/>
      <c r="BG82" s="109"/>
      <c r="BH82" s="109"/>
      <c r="BI82" s="109"/>
      <c r="BJ82" s="109"/>
      <c r="BK82" s="109"/>
      <c r="BL82" s="109"/>
      <c r="BM82" s="109"/>
      <c r="BN82" s="109"/>
      <c r="DG82" s="1"/>
      <c r="DH82" s="1"/>
      <c r="DI82" s="1"/>
      <c r="DJ82" s="1"/>
      <c r="DK82" s="1"/>
      <c r="DL82" s="1"/>
      <c r="DM82" s="1"/>
      <c r="DN82" s="1"/>
      <c r="DO82" s="1"/>
      <c r="DP82" s="1"/>
    </row>
    <row r="83" spans="1:120" ht="15" customHeight="1">
      <c r="A83" s="317"/>
      <c r="B83" s="1040">
        <v>3</v>
      </c>
      <c r="C83" s="1041"/>
      <c r="D83" s="512"/>
      <c r="E83" s="512"/>
      <c r="F83" s="512"/>
      <c r="G83" s="512"/>
      <c r="H83" s="512"/>
      <c r="I83" s="518"/>
      <c r="J83" s="519"/>
      <c r="K83" s="518"/>
      <c r="L83" s="518"/>
      <c r="M83" s="518"/>
      <c r="N83" s="520"/>
      <c r="O83" s="1042">
        <f>給与・年金!F18</f>
        <v>0</v>
      </c>
      <c r="P83" s="1043"/>
      <c r="Q83" s="1043"/>
      <c r="R83" s="1043"/>
      <c r="S83" s="516"/>
      <c r="T83" s="495"/>
      <c r="U83" s="1017">
        <v>6</v>
      </c>
      <c r="V83" s="1018"/>
      <c r="W83" s="496"/>
      <c r="X83" s="497"/>
      <c r="Y83" s="497"/>
      <c r="Z83" s="497"/>
      <c r="AA83" s="505"/>
      <c r="AB83" s="1014"/>
      <c r="AC83" s="511" t="s">
        <v>505</v>
      </c>
      <c r="AD83" s="1002" t="s">
        <v>110</v>
      </c>
      <c r="AE83" s="1016"/>
      <c r="AF83" s="1016"/>
      <c r="AG83" s="1003"/>
      <c r="AH83" s="499"/>
      <c r="AI83" s="500"/>
      <c r="AJ83" s="500"/>
      <c r="AK83" s="500"/>
      <c r="AL83" s="507"/>
      <c r="AM83" s="495"/>
      <c r="AN83" s="1004">
        <v>6</v>
      </c>
      <c r="AO83" s="1005"/>
      <c r="AP83" s="502"/>
      <c r="AQ83" s="503"/>
      <c r="AR83" s="503"/>
      <c r="AS83" s="508"/>
      <c r="AT83" s="509"/>
      <c r="AU83" s="496"/>
      <c r="AV83" s="497"/>
      <c r="AW83" s="505"/>
      <c r="AX83" s="496"/>
      <c r="AY83" s="497"/>
      <c r="AZ83" s="497"/>
      <c r="BA83" s="497"/>
      <c r="BB83" s="510"/>
      <c r="BC83" s="317"/>
      <c r="BE83" s="5"/>
      <c r="BF83" s="109"/>
      <c r="BG83" s="109"/>
      <c r="BH83" s="109"/>
      <c r="BI83" s="109"/>
      <c r="BJ83" s="109"/>
      <c r="BK83" s="109"/>
      <c r="BL83" s="109"/>
      <c r="BM83" s="109"/>
      <c r="BN83" s="109"/>
      <c r="DG83" s="1"/>
      <c r="DH83" s="1"/>
      <c r="DI83" s="1"/>
      <c r="DJ83" s="1"/>
      <c r="DK83" s="1"/>
      <c r="DL83" s="1"/>
      <c r="DM83" s="1"/>
      <c r="DN83" s="1"/>
      <c r="DO83" s="1"/>
      <c r="DP83" s="1"/>
    </row>
    <row r="84" spans="1:120" ht="15" customHeight="1">
      <c r="A84" s="317"/>
      <c r="B84" s="1040">
        <v>4</v>
      </c>
      <c r="C84" s="1041"/>
      <c r="D84" s="512"/>
      <c r="E84" s="512"/>
      <c r="F84" s="512"/>
      <c r="G84" s="512"/>
      <c r="H84" s="512"/>
      <c r="I84" s="518"/>
      <c r="J84" s="519"/>
      <c r="K84" s="518"/>
      <c r="L84" s="518"/>
      <c r="M84" s="518"/>
      <c r="N84" s="520"/>
      <c r="O84" s="1042">
        <f>給与・年金!G18</f>
        <v>0</v>
      </c>
      <c r="P84" s="1043"/>
      <c r="Q84" s="1043"/>
      <c r="R84" s="1043"/>
      <c r="S84" s="516"/>
      <c r="T84" s="495"/>
      <c r="U84" s="1017">
        <v>7</v>
      </c>
      <c r="V84" s="1018"/>
      <c r="W84" s="496"/>
      <c r="X84" s="497"/>
      <c r="Y84" s="497"/>
      <c r="Z84" s="497"/>
      <c r="AA84" s="505"/>
      <c r="AB84" s="1015"/>
      <c r="AC84" s="511" t="s">
        <v>499</v>
      </c>
      <c r="AD84" s="1002" t="s">
        <v>700</v>
      </c>
      <c r="AE84" s="1016"/>
      <c r="AF84" s="1016"/>
      <c r="AG84" s="1003"/>
      <c r="AH84" s="499"/>
      <c r="AI84" s="500"/>
      <c r="AJ84" s="500"/>
      <c r="AK84" s="500"/>
      <c r="AL84" s="507"/>
      <c r="AM84" s="495"/>
      <c r="AN84" s="1004">
        <v>7</v>
      </c>
      <c r="AO84" s="1005"/>
      <c r="AP84" s="502"/>
      <c r="AQ84" s="503"/>
      <c r="AR84" s="503"/>
      <c r="AS84" s="508"/>
      <c r="AT84" s="509"/>
      <c r="AU84" s="496"/>
      <c r="AV84" s="497"/>
      <c r="AW84" s="505"/>
      <c r="AX84" s="496"/>
      <c r="AY84" s="497"/>
      <c r="AZ84" s="497"/>
      <c r="BA84" s="497"/>
      <c r="BB84" s="510"/>
      <c r="BC84" s="317"/>
      <c r="BE84" s="5"/>
      <c r="BF84" s="109"/>
      <c r="BG84" s="109"/>
      <c r="BH84" s="109"/>
      <c r="BI84" s="109"/>
      <c r="BJ84" s="109"/>
      <c r="BK84" s="109"/>
      <c r="BL84" s="109"/>
      <c r="BM84" s="109"/>
      <c r="BN84" s="109"/>
      <c r="DG84" s="1"/>
      <c r="DH84" s="1"/>
      <c r="DI84" s="1"/>
      <c r="DJ84" s="1"/>
      <c r="DK84" s="1"/>
      <c r="DL84" s="1"/>
      <c r="DM84" s="1"/>
      <c r="DN84" s="1"/>
      <c r="DO84" s="1"/>
      <c r="DP84" s="1"/>
    </row>
    <row r="85" spans="1:120" ht="15" customHeight="1">
      <c r="A85" s="317"/>
      <c r="B85" s="1040">
        <v>5</v>
      </c>
      <c r="C85" s="1041"/>
      <c r="D85" s="512"/>
      <c r="E85" s="512"/>
      <c r="F85" s="512"/>
      <c r="G85" s="512"/>
      <c r="H85" s="512"/>
      <c r="I85" s="518"/>
      <c r="J85" s="519"/>
      <c r="K85" s="518"/>
      <c r="L85" s="518"/>
      <c r="M85" s="518"/>
      <c r="N85" s="520"/>
      <c r="O85" s="1042">
        <f>給与・年金!H18</f>
        <v>0</v>
      </c>
      <c r="P85" s="1043"/>
      <c r="Q85" s="1043"/>
      <c r="R85" s="1043"/>
      <c r="S85" s="516"/>
      <c r="T85" s="495"/>
      <c r="U85" s="1017">
        <v>8</v>
      </c>
      <c r="V85" s="1018"/>
      <c r="W85" s="496"/>
      <c r="X85" s="497"/>
      <c r="Y85" s="497"/>
      <c r="Z85" s="497"/>
      <c r="AA85" s="505"/>
      <c r="AB85" s="1013" t="s">
        <v>169</v>
      </c>
      <c r="AC85" s="496"/>
      <c r="AD85" s="497"/>
      <c r="AE85" s="497"/>
      <c r="AF85" s="497"/>
      <c r="AG85" s="505"/>
      <c r="AH85" s="499"/>
      <c r="AI85" s="500"/>
      <c r="AJ85" s="500"/>
      <c r="AK85" s="500"/>
      <c r="AL85" s="507"/>
      <c r="AM85" s="495"/>
      <c r="AN85" s="1004">
        <v>8</v>
      </c>
      <c r="AO85" s="1005"/>
      <c r="AP85" s="502"/>
      <c r="AQ85" s="503"/>
      <c r="AR85" s="503"/>
      <c r="AS85" s="508"/>
      <c r="AT85" s="509"/>
      <c r="AU85" s="496"/>
      <c r="AV85" s="497"/>
      <c r="AW85" s="505"/>
      <c r="AX85" s="496"/>
      <c r="AY85" s="497"/>
      <c r="AZ85" s="497"/>
      <c r="BA85" s="497"/>
      <c r="BB85" s="510"/>
      <c r="BC85" s="317"/>
      <c r="BE85" s="5"/>
      <c r="BF85" s="109"/>
      <c r="BG85" s="109"/>
      <c r="BH85" s="109"/>
      <c r="BI85" s="109"/>
      <c r="BJ85" s="109"/>
      <c r="BK85" s="109"/>
      <c r="BL85" s="109"/>
      <c r="BM85" s="109"/>
      <c r="BN85" s="109"/>
      <c r="DG85" s="1"/>
      <c r="DH85" s="1"/>
      <c r="DI85" s="1"/>
      <c r="DJ85" s="1"/>
      <c r="DK85" s="1"/>
      <c r="DL85" s="1"/>
      <c r="DM85" s="1"/>
      <c r="DN85" s="1"/>
      <c r="DO85" s="1"/>
      <c r="DP85" s="1"/>
    </row>
    <row r="86" spans="1:120" ht="15" customHeight="1">
      <c r="A86" s="317"/>
      <c r="B86" s="1040">
        <v>6</v>
      </c>
      <c r="C86" s="1041"/>
      <c r="D86" s="512"/>
      <c r="E86" s="512"/>
      <c r="F86" s="512"/>
      <c r="G86" s="512"/>
      <c r="H86" s="512"/>
      <c r="I86" s="518"/>
      <c r="J86" s="519"/>
      <c r="K86" s="518"/>
      <c r="L86" s="518"/>
      <c r="M86" s="518"/>
      <c r="N86" s="520"/>
      <c r="O86" s="1042">
        <f>給与・年金!I18</f>
        <v>0</v>
      </c>
      <c r="P86" s="1043"/>
      <c r="Q86" s="1043"/>
      <c r="R86" s="1043"/>
      <c r="S86" s="516"/>
      <c r="T86" s="495"/>
      <c r="U86" s="1017">
        <v>9</v>
      </c>
      <c r="V86" s="1018"/>
      <c r="W86" s="496"/>
      <c r="X86" s="497"/>
      <c r="Y86" s="497"/>
      <c r="Z86" s="497"/>
      <c r="AA86" s="505"/>
      <c r="AB86" s="1014"/>
      <c r="AC86" s="496"/>
      <c r="AD86" s="497"/>
      <c r="AE86" s="497"/>
      <c r="AF86" s="497"/>
      <c r="AG86" s="505"/>
      <c r="AH86" s="499"/>
      <c r="AI86" s="500"/>
      <c r="AJ86" s="500"/>
      <c r="AK86" s="500"/>
      <c r="AL86" s="507"/>
      <c r="AM86" s="495"/>
      <c r="AN86" s="1004">
        <v>9</v>
      </c>
      <c r="AO86" s="1005"/>
      <c r="AP86" s="502"/>
      <c r="AQ86" s="503"/>
      <c r="AR86" s="503"/>
      <c r="AS86" s="508"/>
      <c r="AT86" s="509"/>
      <c r="AU86" s="496"/>
      <c r="AV86" s="497"/>
      <c r="AW86" s="505"/>
      <c r="AX86" s="496"/>
      <c r="AY86" s="497"/>
      <c r="AZ86" s="497"/>
      <c r="BA86" s="497"/>
      <c r="BB86" s="510"/>
      <c r="BC86" s="317"/>
      <c r="BE86" s="5"/>
      <c r="BF86" s="109"/>
      <c r="BG86" s="109"/>
      <c r="BH86" s="109"/>
      <c r="BI86" s="109"/>
      <c r="BJ86" s="109"/>
      <c r="BK86" s="109"/>
      <c r="BL86" s="109"/>
      <c r="BM86" s="109"/>
      <c r="BN86" s="109"/>
      <c r="DG86" s="1"/>
      <c r="DH86" s="1"/>
      <c r="DI86" s="1"/>
      <c r="DJ86" s="1"/>
      <c r="DK86" s="1"/>
      <c r="DL86" s="1"/>
      <c r="DM86" s="1"/>
      <c r="DN86" s="1"/>
      <c r="DO86" s="1"/>
      <c r="DP86" s="1"/>
    </row>
    <row r="87" spans="1:120" ht="15" customHeight="1">
      <c r="A87" s="317"/>
      <c r="B87" s="1040">
        <v>7</v>
      </c>
      <c r="C87" s="1041"/>
      <c r="D87" s="512"/>
      <c r="E87" s="512"/>
      <c r="F87" s="512"/>
      <c r="G87" s="512"/>
      <c r="H87" s="512"/>
      <c r="I87" s="518"/>
      <c r="J87" s="519"/>
      <c r="K87" s="518"/>
      <c r="L87" s="518"/>
      <c r="M87" s="518"/>
      <c r="N87" s="520"/>
      <c r="O87" s="1042">
        <f>給与・年金!J18</f>
        <v>0</v>
      </c>
      <c r="P87" s="1043"/>
      <c r="Q87" s="1043"/>
      <c r="R87" s="1043"/>
      <c r="S87" s="516"/>
      <c r="T87" s="495"/>
      <c r="U87" s="1017">
        <v>10</v>
      </c>
      <c r="V87" s="1018"/>
      <c r="W87" s="496"/>
      <c r="X87" s="497"/>
      <c r="Y87" s="497"/>
      <c r="Z87" s="497"/>
      <c r="AA87" s="505"/>
      <c r="AB87" s="1014"/>
      <c r="AC87" s="496"/>
      <c r="AD87" s="497"/>
      <c r="AE87" s="497"/>
      <c r="AF87" s="497"/>
      <c r="AG87" s="505"/>
      <c r="AH87" s="499"/>
      <c r="AI87" s="500"/>
      <c r="AJ87" s="500"/>
      <c r="AK87" s="500"/>
      <c r="AL87" s="507"/>
      <c r="AM87" s="495"/>
      <c r="AN87" s="1004">
        <v>10</v>
      </c>
      <c r="AO87" s="1005"/>
      <c r="AP87" s="502"/>
      <c r="AQ87" s="503"/>
      <c r="AR87" s="503"/>
      <c r="AS87" s="508"/>
      <c r="AT87" s="509"/>
      <c r="AU87" s="496"/>
      <c r="AV87" s="497"/>
      <c r="AW87" s="505"/>
      <c r="AX87" s="496"/>
      <c r="AY87" s="497"/>
      <c r="AZ87" s="497"/>
      <c r="BA87" s="497"/>
      <c r="BB87" s="510"/>
      <c r="BC87" s="317"/>
      <c r="BE87" s="5"/>
      <c r="BF87" s="109"/>
      <c r="BG87" s="109"/>
      <c r="BH87" s="109"/>
      <c r="BI87" s="109"/>
      <c r="BJ87" s="109"/>
      <c r="BK87" s="109"/>
      <c r="BL87" s="109"/>
      <c r="BM87" s="109"/>
      <c r="BN87" s="109"/>
      <c r="DG87" s="1"/>
      <c r="DH87" s="1"/>
      <c r="DI87" s="1"/>
      <c r="DJ87" s="1"/>
      <c r="DK87" s="1"/>
      <c r="DL87" s="1"/>
      <c r="DM87" s="1"/>
      <c r="DN87" s="1"/>
      <c r="DO87" s="1"/>
      <c r="DP87" s="1"/>
    </row>
    <row r="88" spans="1:120" ht="15" customHeight="1">
      <c r="A88" s="317"/>
      <c r="B88" s="1040">
        <v>8</v>
      </c>
      <c r="C88" s="1041"/>
      <c r="D88" s="512"/>
      <c r="E88" s="512"/>
      <c r="F88" s="512"/>
      <c r="G88" s="512"/>
      <c r="H88" s="512"/>
      <c r="I88" s="518"/>
      <c r="J88" s="519"/>
      <c r="K88" s="518"/>
      <c r="L88" s="518"/>
      <c r="M88" s="518"/>
      <c r="N88" s="520"/>
      <c r="O88" s="1042">
        <f>給与・年金!K18</f>
        <v>0</v>
      </c>
      <c r="P88" s="1043"/>
      <c r="Q88" s="1043"/>
      <c r="R88" s="1043"/>
      <c r="S88" s="516"/>
      <c r="T88" s="495"/>
      <c r="U88" s="1017">
        <v>11</v>
      </c>
      <c r="V88" s="1018"/>
      <c r="W88" s="496"/>
      <c r="X88" s="497"/>
      <c r="Y88" s="497"/>
      <c r="Z88" s="497"/>
      <c r="AA88" s="505"/>
      <c r="AB88" s="1014"/>
      <c r="AC88" s="496"/>
      <c r="AD88" s="497"/>
      <c r="AE88" s="497"/>
      <c r="AF88" s="497"/>
      <c r="AG88" s="505"/>
      <c r="AH88" s="499"/>
      <c r="AI88" s="500"/>
      <c r="AJ88" s="500"/>
      <c r="AK88" s="500"/>
      <c r="AL88" s="507"/>
      <c r="AM88" s="495"/>
      <c r="AN88" s="1004">
        <v>11</v>
      </c>
      <c r="AO88" s="1005"/>
      <c r="AP88" s="502"/>
      <c r="AQ88" s="503"/>
      <c r="AR88" s="503"/>
      <c r="AS88" s="508"/>
      <c r="AT88" s="509"/>
      <c r="AU88" s="496"/>
      <c r="AV88" s="497"/>
      <c r="AW88" s="505"/>
      <c r="AX88" s="496"/>
      <c r="AY88" s="497"/>
      <c r="AZ88" s="497"/>
      <c r="BA88" s="497"/>
      <c r="BB88" s="510"/>
      <c r="BC88" s="317"/>
      <c r="BE88" s="5"/>
      <c r="BF88" s="109"/>
      <c r="BG88" s="109"/>
      <c r="BH88" s="109"/>
      <c r="BI88" s="109"/>
      <c r="BJ88" s="109"/>
      <c r="BK88" s="109"/>
      <c r="BL88" s="109"/>
      <c r="BM88" s="109"/>
      <c r="BN88" s="109"/>
      <c r="DG88" s="1"/>
      <c r="DH88" s="1"/>
      <c r="DI88" s="1"/>
      <c r="DJ88" s="1"/>
      <c r="DK88" s="1"/>
      <c r="DL88" s="1"/>
      <c r="DM88" s="1"/>
      <c r="DN88" s="1"/>
      <c r="DO88" s="1"/>
      <c r="DP88" s="1"/>
    </row>
    <row r="89" spans="1:120" ht="15" customHeight="1">
      <c r="A89" s="317"/>
      <c r="B89" s="1040">
        <v>9</v>
      </c>
      <c r="C89" s="1041"/>
      <c r="D89" s="512"/>
      <c r="E89" s="512"/>
      <c r="F89" s="512"/>
      <c r="G89" s="512"/>
      <c r="H89" s="512"/>
      <c r="I89" s="518"/>
      <c r="J89" s="519"/>
      <c r="K89" s="518"/>
      <c r="L89" s="518"/>
      <c r="M89" s="518"/>
      <c r="N89" s="520"/>
      <c r="O89" s="1042">
        <f>給与・年金!L18</f>
        <v>0</v>
      </c>
      <c r="P89" s="1043"/>
      <c r="Q89" s="1043"/>
      <c r="R89" s="1043"/>
      <c r="S89" s="516"/>
      <c r="T89" s="495"/>
      <c r="U89" s="1017">
        <v>12</v>
      </c>
      <c r="V89" s="1018"/>
      <c r="W89" s="496"/>
      <c r="X89" s="497"/>
      <c r="Y89" s="497"/>
      <c r="Z89" s="497"/>
      <c r="AA89" s="505"/>
      <c r="AB89" s="1014"/>
      <c r="AC89" s="496"/>
      <c r="AD89" s="497"/>
      <c r="AE89" s="497"/>
      <c r="AF89" s="497"/>
      <c r="AG89" s="505"/>
      <c r="AH89" s="499"/>
      <c r="AI89" s="500"/>
      <c r="AJ89" s="500"/>
      <c r="AK89" s="500"/>
      <c r="AL89" s="507"/>
      <c r="AM89" s="495"/>
      <c r="AN89" s="1004">
        <v>12</v>
      </c>
      <c r="AO89" s="1005"/>
      <c r="AP89" s="502"/>
      <c r="AQ89" s="503"/>
      <c r="AR89" s="503"/>
      <c r="AS89" s="508"/>
      <c r="AT89" s="509"/>
      <c r="AU89" s="496"/>
      <c r="AV89" s="497"/>
      <c r="AW89" s="505"/>
      <c r="AX89" s="496"/>
      <c r="AY89" s="497"/>
      <c r="AZ89" s="497"/>
      <c r="BA89" s="497"/>
      <c r="BB89" s="510"/>
      <c r="BC89" s="317"/>
      <c r="BE89" s="5"/>
      <c r="BF89" s="109"/>
      <c r="BG89" s="109"/>
      <c r="BH89" s="109"/>
      <c r="BI89" s="109"/>
      <c r="BJ89" s="109"/>
      <c r="BK89" s="109"/>
      <c r="BL89" s="109"/>
      <c r="BM89" s="109"/>
      <c r="BN89" s="109"/>
      <c r="DG89" s="1"/>
      <c r="DH89" s="1"/>
      <c r="DI89" s="1"/>
      <c r="DJ89" s="1"/>
      <c r="DK89" s="1"/>
      <c r="DL89" s="1"/>
      <c r="DM89" s="1"/>
      <c r="DN89" s="1"/>
      <c r="DO89" s="1"/>
      <c r="DP89" s="1"/>
    </row>
    <row r="90" spans="1:120" ht="15" customHeight="1">
      <c r="A90" s="317"/>
      <c r="B90" s="1040">
        <v>10</v>
      </c>
      <c r="C90" s="1041"/>
      <c r="D90" s="512"/>
      <c r="E90" s="512"/>
      <c r="F90" s="512"/>
      <c r="G90" s="512"/>
      <c r="H90" s="512"/>
      <c r="I90" s="518"/>
      <c r="J90" s="519"/>
      <c r="K90" s="518"/>
      <c r="L90" s="518"/>
      <c r="M90" s="518"/>
      <c r="N90" s="520"/>
      <c r="O90" s="1042">
        <f>給与・年金!M18</f>
        <v>0</v>
      </c>
      <c r="P90" s="1043"/>
      <c r="Q90" s="1043"/>
      <c r="R90" s="1043"/>
      <c r="S90" s="516"/>
      <c r="T90" s="495"/>
      <c r="U90" s="1044" t="s">
        <v>544</v>
      </c>
      <c r="V90" s="1045"/>
      <c r="W90" s="496"/>
      <c r="X90" s="497"/>
      <c r="Y90" s="497"/>
      <c r="Z90" s="497"/>
      <c r="AA90" s="505"/>
      <c r="AB90" s="1014"/>
      <c r="AC90" s="521"/>
      <c r="AD90" s="522"/>
      <c r="AE90" s="522"/>
      <c r="AF90" s="522"/>
      <c r="AG90" s="523"/>
      <c r="AH90" s="499"/>
      <c r="AI90" s="500"/>
      <c r="AJ90" s="500"/>
      <c r="AK90" s="500"/>
      <c r="AL90" s="507"/>
      <c r="AM90" s="495"/>
      <c r="AN90" s="1017" t="s">
        <v>507</v>
      </c>
      <c r="AO90" s="1018"/>
      <c r="AP90" s="502"/>
      <c r="AQ90" s="503"/>
      <c r="AR90" s="503"/>
      <c r="AS90" s="508"/>
      <c r="AT90" s="509"/>
      <c r="AU90" s="496"/>
      <c r="AV90" s="497"/>
      <c r="AW90" s="505"/>
      <c r="AX90" s="496"/>
      <c r="AY90" s="497"/>
      <c r="AZ90" s="497"/>
      <c r="BA90" s="497"/>
      <c r="BB90" s="510"/>
      <c r="BC90" s="317"/>
      <c r="BE90" s="5"/>
      <c r="BF90" s="109"/>
      <c r="BG90" s="109"/>
      <c r="BH90" s="109"/>
      <c r="BI90" s="109"/>
      <c r="BJ90" s="109"/>
      <c r="BK90" s="109"/>
      <c r="BL90" s="109"/>
      <c r="BM90" s="109"/>
      <c r="BN90" s="109"/>
      <c r="DG90" s="1"/>
      <c r="DH90" s="1"/>
      <c r="DI90" s="1"/>
      <c r="DJ90" s="1"/>
      <c r="DK90" s="1"/>
      <c r="DL90" s="1"/>
      <c r="DM90" s="1"/>
      <c r="DN90" s="1"/>
      <c r="DO90" s="1"/>
      <c r="DP90" s="1"/>
    </row>
    <row r="91" spans="1:120" ht="15" customHeight="1">
      <c r="A91" s="317"/>
      <c r="B91" s="1040">
        <v>11</v>
      </c>
      <c r="C91" s="1041"/>
      <c r="D91" s="512"/>
      <c r="E91" s="512"/>
      <c r="F91" s="512"/>
      <c r="G91" s="512"/>
      <c r="H91" s="512"/>
      <c r="I91" s="518"/>
      <c r="J91" s="519"/>
      <c r="K91" s="518"/>
      <c r="L91" s="518"/>
      <c r="M91" s="518"/>
      <c r="N91" s="520"/>
      <c r="O91" s="1042">
        <f>給与・年金!N18</f>
        <v>0</v>
      </c>
      <c r="P91" s="1043"/>
      <c r="Q91" s="1043"/>
      <c r="R91" s="1043"/>
      <c r="S91" s="516"/>
      <c r="T91" s="495"/>
      <c r="U91" s="1017" t="s">
        <v>506</v>
      </c>
      <c r="V91" s="1018"/>
      <c r="W91" s="524"/>
      <c r="X91" s="497"/>
      <c r="Y91" s="497"/>
      <c r="Z91" s="497"/>
      <c r="AA91" s="509"/>
      <c r="AB91" s="1014"/>
      <c r="AC91" s="496"/>
      <c r="AD91" s="497"/>
      <c r="AE91" s="497"/>
      <c r="AF91" s="497"/>
      <c r="AG91" s="505"/>
      <c r="AH91" s="499"/>
      <c r="AI91" s="500"/>
      <c r="AJ91" s="500"/>
      <c r="AK91" s="500"/>
      <c r="AL91" s="507"/>
      <c r="AM91" s="495"/>
      <c r="AN91" s="1017" t="s">
        <v>508</v>
      </c>
      <c r="AO91" s="1018"/>
      <c r="AP91" s="502"/>
      <c r="AQ91" s="503"/>
      <c r="AR91" s="503"/>
      <c r="AS91" s="508"/>
      <c r="AT91" s="509"/>
      <c r="AU91" s="496"/>
      <c r="AV91" s="497"/>
      <c r="AW91" s="505"/>
      <c r="AX91" s="496"/>
      <c r="AY91" s="497"/>
      <c r="AZ91" s="497"/>
      <c r="BA91" s="497"/>
      <c r="BB91" s="510"/>
      <c r="BC91" s="317"/>
      <c r="BE91" s="5"/>
      <c r="BF91" s="109"/>
      <c r="BG91" s="109"/>
      <c r="BH91" s="109"/>
      <c r="BI91" s="109"/>
      <c r="BJ91" s="109"/>
      <c r="BK91" s="109"/>
      <c r="BL91" s="109"/>
      <c r="BM91" s="109"/>
      <c r="BN91" s="109"/>
      <c r="DG91" s="1"/>
      <c r="DH91" s="1"/>
      <c r="DI91" s="1"/>
      <c r="DJ91" s="1"/>
      <c r="DK91" s="1"/>
      <c r="DL91" s="1"/>
      <c r="DM91" s="1"/>
      <c r="DN91" s="1"/>
      <c r="DO91" s="1"/>
      <c r="DP91" s="1"/>
    </row>
    <row r="92" spans="1:120" ht="15" customHeight="1">
      <c r="A92" s="317"/>
      <c r="B92" s="1040">
        <v>12</v>
      </c>
      <c r="C92" s="1041"/>
      <c r="D92" s="512"/>
      <c r="E92" s="512"/>
      <c r="F92" s="512"/>
      <c r="G92" s="512"/>
      <c r="H92" s="512"/>
      <c r="I92" s="518"/>
      <c r="J92" s="519"/>
      <c r="K92" s="518"/>
      <c r="L92" s="518"/>
      <c r="M92" s="518"/>
      <c r="N92" s="520"/>
      <c r="O92" s="1042">
        <f>給与・年金!O18</f>
        <v>0</v>
      </c>
      <c r="P92" s="1043"/>
      <c r="Q92" s="1043"/>
      <c r="R92" s="1043"/>
      <c r="S92" s="516"/>
      <c r="T92" s="495"/>
      <c r="U92" s="1017" t="s">
        <v>495</v>
      </c>
      <c r="V92" s="1018"/>
      <c r="W92" s="524"/>
      <c r="X92" s="497"/>
      <c r="Y92" s="497"/>
      <c r="Z92" s="497"/>
      <c r="AA92" s="509"/>
      <c r="AB92" s="1015"/>
      <c r="AC92" s="1002" t="s">
        <v>504</v>
      </c>
      <c r="AD92" s="1016"/>
      <c r="AE92" s="1016"/>
      <c r="AF92" s="1016"/>
      <c r="AG92" s="1003"/>
      <c r="AH92" s="499"/>
      <c r="AI92" s="500"/>
      <c r="AJ92" s="500"/>
      <c r="AK92" s="500"/>
      <c r="AL92" s="507"/>
      <c r="AM92" s="495"/>
      <c r="AN92" s="1017" t="s">
        <v>509</v>
      </c>
      <c r="AO92" s="1018"/>
      <c r="AP92" s="502"/>
      <c r="AQ92" s="503"/>
      <c r="AR92" s="503"/>
      <c r="AS92" s="508"/>
      <c r="AT92" s="509"/>
      <c r="AU92" s="496"/>
      <c r="AV92" s="497"/>
      <c r="AW92" s="505"/>
      <c r="AX92" s="496"/>
      <c r="AY92" s="497"/>
      <c r="AZ92" s="497"/>
      <c r="BA92" s="497"/>
      <c r="BB92" s="510"/>
      <c r="BC92" s="317"/>
      <c r="BE92" s="5"/>
      <c r="BF92" s="109"/>
      <c r="BG92" s="109"/>
      <c r="BH92" s="109"/>
      <c r="BI92" s="109"/>
      <c r="BJ92" s="109"/>
      <c r="BK92" s="109"/>
      <c r="BL92" s="109"/>
      <c r="BM92" s="109"/>
      <c r="BN92" s="109"/>
      <c r="DG92" s="1"/>
      <c r="DH92" s="1"/>
      <c r="DI92" s="1"/>
      <c r="DJ92" s="1"/>
      <c r="DK92" s="1"/>
      <c r="DL92" s="1"/>
      <c r="DM92" s="1"/>
      <c r="DN92" s="1"/>
      <c r="DO92" s="1"/>
      <c r="DP92" s="1"/>
    </row>
    <row r="93" spans="1:120" ht="15" customHeight="1">
      <c r="A93" s="317"/>
      <c r="B93" s="1040" t="s">
        <v>491</v>
      </c>
      <c r="C93" s="1041"/>
      <c r="D93" s="512"/>
      <c r="E93" s="512"/>
      <c r="F93" s="512"/>
      <c r="G93" s="512"/>
      <c r="H93" s="512"/>
      <c r="I93" s="515" t="s">
        <v>67</v>
      </c>
      <c r="J93" s="519"/>
      <c r="K93" s="518"/>
      <c r="L93" s="518"/>
      <c r="M93" s="518"/>
      <c r="N93" s="520"/>
      <c r="O93" s="1042">
        <f>給与・年金!P18</f>
        <v>0</v>
      </c>
      <c r="P93" s="1043"/>
      <c r="Q93" s="1043"/>
      <c r="R93" s="1043"/>
      <c r="S93" s="516"/>
      <c r="T93" s="495"/>
      <c r="U93" s="1017" t="s">
        <v>510</v>
      </c>
      <c r="V93" s="1018"/>
      <c r="W93" s="524"/>
      <c r="X93" s="497"/>
      <c r="Y93" s="497"/>
      <c r="Z93" s="497"/>
      <c r="AA93" s="509"/>
      <c r="AB93" s="1002" t="s">
        <v>500</v>
      </c>
      <c r="AC93" s="1016"/>
      <c r="AD93" s="1016"/>
      <c r="AE93" s="1016"/>
      <c r="AF93" s="1016"/>
      <c r="AG93" s="1003"/>
      <c r="AH93" s="499"/>
      <c r="AI93" s="500"/>
      <c r="AJ93" s="500"/>
      <c r="AK93" s="500"/>
      <c r="AL93" s="507"/>
      <c r="AM93" s="495"/>
      <c r="AN93" s="1017" t="s">
        <v>512</v>
      </c>
      <c r="AO93" s="1018"/>
      <c r="AP93" s="502"/>
      <c r="AQ93" s="503"/>
      <c r="AR93" s="503"/>
      <c r="AS93" s="508"/>
      <c r="AT93" s="509"/>
      <c r="AU93" s="496"/>
      <c r="AV93" s="497"/>
      <c r="AW93" s="505"/>
      <c r="AX93" s="496"/>
      <c r="AY93" s="497"/>
      <c r="AZ93" s="497"/>
      <c r="BA93" s="497"/>
      <c r="BB93" s="510"/>
      <c r="BC93" s="317"/>
      <c r="BE93" s="5"/>
      <c r="BF93" s="109"/>
      <c r="BG93" s="109"/>
      <c r="BH93" s="109"/>
      <c r="BI93" s="109"/>
      <c r="BJ93" s="109"/>
      <c r="BK93" s="109"/>
      <c r="BL93" s="109"/>
      <c r="BM93" s="109"/>
      <c r="BN93" s="109"/>
      <c r="DG93" s="1"/>
      <c r="DH93" s="1"/>
      <c r="DI93" s="1"/>
      <c r="DJ93" s="1"/>
      <c r="DK93" s="1"/>
      <c r="DL93" s="1"/>
      <c r="DM93" s="1"/>
      <c r="DN93" s="1"/>
      <c r="DO93" s="1"/>
      <c r="DP93" s="1"/>
    </row>
    <row r="94" spans="1:120" ht="15" customHeight="1">
      <c r="A94" s="317"/>
      <c r="B94" s="1040" t="s">
        <v>492</v>
      </c>
      <c r="C94" s="1041"/>
      <c r="D94" s="512"/>
      <c r="E94" s="512"/>
      <c r="F94" s="512"/>
      <c r="G94" s="512"/>
      <c r="H94" s="512"/>
      <c r="I94" s="515" t="s">
        <v>67</v>
      </c>
      <c r="J94" s="519"/>
      <c r="K94" s="518"/>
      <c r="L94" s="518"/>
      <c r="M94" s="518"/>
      <c r="N94" s="520"/>
      <c r="O94" s="1042">
        <f>給与・年金!Q18</f>
        <v>0</v>
      </c>
      <c r="P94" s="1043"/>
      <c r="Q94" s="1043"/>
      <c r="R94" s="1043"/>
      <c r="S94" s="516" t="s">
        <v>67</v>
      </c>
      <c r="T94" s="495"/>
      <c r="U94" s="1262"/>
      <c r="V94" s="1263"/>
      <c r="W94" s="1263"/>
      <c r="X94" s="1263"/>
      <c r="Y94" s="1263"/>
      <c r="Z94" s="1263"/>
      <c r="AA94" s="1264"/>
      <c r="AB94" s="1002" t="s">
        <v>501</v>
      </c>
      <c r="AC94" s="1016"/>
      <c r="AD94" s="1016"/>
      <c r="AE94" s="1016"/>
      <c r="AF94" s="1016"/>
      <c r="AG94" s="1003"/>
      <c r="AH94" s="499"/>
      <c r="AI94" s="500"/>
      <c r="AJ94" s="500"/>
      <c r="AK94" s="500"/>
      <c r="AL94" s="507"/>
      <c r="AM94" s="495"/>
      <c r="AN94" s="1017" t="s">
        <v>510</v>
      </c>
      <c r="AO94" s="1018"/>
      <c r="AP94" s="502"/>
      <c r="AQ94" s="503"/>
      <c r="AR94" s="503"/>
      <c r="AS94" s="508"/>
      <c r="AT94" s="509"/>
      <c r="AU94" s="1002" t="s">
        <v>514</v>
      </c>
      <c r="AV94" s="1016"/>
      <c r="AW94" s="1003"/>
      <c r="AX94" s="496"/>
      <c r="AY94" s="497"/>
      <c r="AZ94" s="497"/>
      <c r="BA94" s="497"/>
      <c r="BB94" s="510"/>
      <c r="BC94" s="317"/>
      <c r="BE94" s="5"/>
      <c r="BF94" s="109"/>
      <c r="BG94" s="109"/>
      <c r="BH94" s="109"/>
      <c r="BI94" s="109"/>
      <c r="BJ94" s="109"/>
      <c r="BK94" s="109"/>
      <c r="BL94" s="109"/>
      <c r="BM94" s="109"/>
      <c r="BN94" s="109"/>
      <c r="DG94" s="1"/>
      <c r="DH94" s="1"/>
      <c r="DI94" s="1"/>
      <c r="DJ94" s="1"/>
      <c r="DK94" s="1"/>
      <c r="DL94" s="1"/>
      <c r="DM94" s="1"/>
      <c r="DN94" s="1"/>
      <c r="DO94" s="1"/>
      <c r="DP94" s="1"/>
    </row>
    <row r="95" spans="1:120" ht="15" customHeight="1">
      <c r="A95" s="317"/>
      <c r="B95" s="1283" t="s">
        <v>493</v>
      </c>
      <c r="C95" s="1284"/>
      <c r="D95" s="1284"/>
      <c r="E95" s="1285"/>
      <c r="F95" s="1117"/>
      <c r="G95" s="1118"/>
      <c r="H95" s="1118"/>
      <c r="I95" s="515" t="s">
        <v>67</v>
      </c>
      <c r="J95" s="1277"/>
      <c r="K95" s="1278"/>
      <c r="L95" s="1278"/>
      <c r="M95" s="1278"/>
      <c r="N95" s="1278"/>
      <c r="O95" s="1278"/>
      <c r="P95" s="1278"/>
      <c r="Q95" s="1278"/>
      <c r="R95" s="1278"/>
      <c r="S95" s="1279"/>
      <c r="T95" s="495"/>
      <c r="U95" s="1265"/>
      <c r="V95" s="1266"/>
      <c r="W95" s="1266"/>
      <c r="X95" s="1266"/>
      <c r="Y95" s="1266"/>
      <c r="Z95" s="1266"/>
      <c r="AA95" s="1267"/>
      <c r="AB95" s="1002" t="s">
        <v>502</v>
      </c>
      <c r="AC95" s="1016"/>
      <c r="AD95" s="1016"/>
      <c r="AE95" s="1016"/>
      <c r="AF95" s="1016"/>
      <c r="AG95" s="1003"/>
      <c r="AH95" s="502"/>
      <c r="AI95" s="503"/>
      <c r="AJ95" s="503"/>
      <c r="AK95" s="503"/>
      <c r="AL95" s="525"/>
      <c r="AM95" s="495"/>
      <c r="AN95" s="1623" t="s">
        <v>511</v>
      </c>
      <c r="AO95" s="1624"/>
      <c r="AP95" s="1624"/>
      <c r="AQ95" s="1624"/>
      <c r="AR95" s="1624"/>
      <c r="AS95" s="1624"/>
      <c r="AT95" s="1625"/>
      <c r="AU95" s="1259" t="s">
        <v>503</v>
      </c>
      <c r="AV95" s="1260"/>
      <c r="AW95" s="1260"/>
      <c r="AX95" s="1260"/>
      <c r="AY95" s="1260"/>
      <c r="AZ95" s="1260"/>
      <c r="BA95" s="1260"/>
      <c r="BB95" s="1261"/>
      <c r="BC95" s="526"/>
      <c r="BE95" s="5"/>
      <c r="BF95" s="109"/>
      <c r="BG95" s="109"/>
      <c r="BH95" s="109"/>
      <c r="BI95" s="109"/>
      <c r="BJ95" s="109"/>
      <c r="BK95" s="109"/>
      <c r="BL95" s="109"/>
      <c r="BM95" s="109"/>
      <c r="BN95" s="109"/>
      <c r="DG95" s="1"/>
      <c r="DH95" s="1"/>
      <c r="DI95" s="1"/>
      <c r="DJ95" s="1"/>
      <c r="DK95" s="1"/>
      <c r="DL95" s="1"/>
      <c r="DM95" s="1"/>
      <c r="DN95" s="1"/>
      <c r="DO95" s="1"/>
      <c r="DP95" s="1"/>
    </row>
    <row r="96" spans="1:120" ht="15" customHeight="1">
      <c r="A96" s="317"/>
      <c r="B96" s="1283" t="s">
        <v>494</v>
      </c>
      <c r="C96" s="1284"/>
      <c r="D96" s="1284"/>
      <c r="E96" s="1285"/>
      <c r="F96" s="527"/>
      <c r="G96" s="512"/>
      <c r="H96" s="512"/>
      <c r="I96" s="515" t="s">
        <v>67</v>
      </c>
      <c r="J96" s="1280"/>
      <c r="K96" s="1281"/>
      <c r="L96" s="1281"/>
      <c r="M96" s="1281"/>
      <c r="N96" s="1281"/>
      <c r="O96" s="1281"/>
      <c r="P96" s="1281"/>
      <c r="Q96" s="1281"/>
      <c r="R96" s="1281"/>
      <c r="S96" s="1282"/>
      <c r="T96" s="495"/>
      <c r="U96" s="1268"/>
      <c r="V96" s="1269"/>
      <c r="W96" s="1269"/>
      <c r="X96" s="1269"/>
      <c r="Y96" s="1269"/>
      <c r="Z96" s="1269"/>
      <c r="AA96" s="1270"/>
      <c r="AB96" s="1002" t="s">
        <v>503</v>
      </c>
      <c r="AC96" s="1016"/>
      <c r="AD96" s="1016"/>
      <c r="AE96" s="1016"/>
      <c r="AF96" s="1016"/>
      <c r="AG96" s="1003"/>
      <c r="AH96" s="502"/>
      <c r="AI96" s="503"/>
      <c r="AJ96" s="503"/>
      <c r="AK96" s="503"/>
      <c r="AL96" s="525"/>
      <c r="AM96" s="495"/>
      <c r="AN96" s="528"/>
      <c r="AO96" s="529"/>
      <c r="AP96" s="529"/>
      <c r="AQ96" s="529"/>
      <c r="AR96" s="529"/>
      <c r="AS96" s="504"/>
      <c r="AT96" s="501" t="s">
        <v>513</v>
      </c>
      <c r="AU96" s="499"/>
      <c r="AV96" s="500"/>
      <c r="AW96" s="500"/>
      <c r="AX96" s="500"/>
      <c r="AY96" s="500"/>
      <c r="AZ96" s="500"/>
      <c r="BA96" s="500"/>
      <c r="BB96" s="506" t="s">
        <v>513</v>
      </c>
      <c r="BC96" s="317"/>
      <c r="BE96" s="5"/>
      <c r="BF96" s="109"/>
      <c r="BG96" s="109"/>
      <c r="BH96" s="109"/>
      <c r="BI96" s="109"/>
      <c r="BJ96" s="109"/>
      <c r="BK96" s="109"/>
      <c r="BL96" s="109"/>
      <c r="BM96" s="109"/>
      <c r="BN96" s="109"/>
      <c r="DG96" s="1"/>
      <c r="DH96" s="1"/>
      <c r="DI96" s="1"/>
      <c r="DJ96" s="1"/>
      <c r="DK96" s="1"/>
      <c r="DL96" s="1"/>
      <c r="DM96" s="1"/>
      <c r="DN96" s="1"/>
      <c r="DO96" s="1"/>
      <c r="DP96" s="1"/>
    </row>
    <row r="97" spans="1:120" s="81" customFormat="1" ht="15" customHeight="1">
      <c r="A97" s="433"/>
      <c r="B97" s="530"/>
      <c r="C97" s="530"/>
      <c r="D97" s="530"/>
      <c r="E97" s="530"/>
      <c r="F97" s="530"/>
      <c r="G97" s="530"/>
      <c r="H97" s="530"/>
      <c r="I97" s="531"/>
      <c r="J97" s="531"/>
      <c r="K97" s="531"/>
      <c r="L97" s="532"/>
      <c r="M97" s="532"/>
      <c r="N97" s="533"/>
      <c r="O97" s="533"/>
      <c r="P97" s="533"/>
      <c r="Q97" s="533"/>
      <c r="R97" s="533"/>
      <c r="S97" s="534"/>
      <c r="T97" s="535"/>
      <c r="U97" s="535"/>
      <c r="V97" s="535"/>
      <c r="W97" s="535"/>
      <c r="X97" s="535"/>
      <c r="Y97" s="535"/>
      <c r="Z97" s="535"/>
      <c r="AA97" s="535"/>
      <c r="AB97" s="535"/>
      <c r="AC97" s="536"/>
      <c r="AD97" s="536"/>
      <c r="AE97" s="537"/>
      <c r="AF97" s="537"/>
      <c r="AG97" s="537"/>
      <c r="AH97" s="538"/>
      <c r="AI97" s="538"/>
      <c r="AJ97" s="538"/>
      <c r="AK97" s="538"/>
      <c r="AL97" s="538"/>
      <c r="AM97" s="538"/>
      <c r="AN97" s="538"/>
      <c r="AO97" s="538"/>
      <c r="AP97" s="538"/>
      <c r="AQ97" s="538"/>
      <c r="AR97" s="538"/>
      <c r="AS97" s="538"/>
      <c r="AT97" s="538"/>
      <c r="AU97" s="539"/>
      <c r="AV97" s="539"/>
      <c r="AW97" s="539"/>
      <c r="AX97" s="539"/>
      <c r="AY97" s="539"/>
      <c r="AZ97" s="539"/>
      <c r="BA97" s="539"/>
      <c r="BB97" s="539"/>
      <c r="BC97" s="539"/>
      <c r="BD97" s="96"/>
      <c r="BE97" s="96"/>
      <c r="BF97" s="96"/>
      <c r="BG97" s="96"/>
      <c r="BH97" s="96"/>
      <c r="BI97" s="125"/>
      <c r="BJ97" s="125"/>
      <c r="BK97" s="125"/>
      <c r="BL97" s="125"/>
      <c r="BM97" s="125"/>
      <c r="BN97" s="125"/>
      <c r="BO97" s="125"/>
      <c r="BP97" s="125"/>
      <c r="BQ97" s="125"/>
      <c r="BR97" s="125"/>
      <c r="BS97" s="124"/>
      <c r="BT97" s="126"/>
      <c r="BU97" s="126"/>
      <c r="BV97" s="126"/>
      <c r="BW97" s="126"/>
      <c r="BX97" s="126"/>
      <c r="BY97" s="126"/>
      <c r="BZ97" s="126"/>
      <c r="CA97" s="126"/>
      <c r="CB97" s="126"/>
      <c r="CC97" s="126"/>
      <c r="CD97" s="126"/>
      <c r="CE97" s="126"/>
      <c r="CF97" s="127"/>
      <c r="CG97" s="96"/>
      <c r="CH97" s="96"/>
      <c r="CI97" s="96"/>
      <c r="CJ97" s="96"/>
      <c r="CK97" s="96"/>
      <c r="CL97" s="96"/>
      <c r="CM97" s="96"/>
      <c r="CN97" s="96"/>
      <c r="CO97" s="96"/>
      <c r="CP97" s="96"/>
      <c r="CQ97" s="96"/>
      <c r="CR97" s="96"/>
      <c r="CS97" s="96"/>
      <c r="CT97" s="96"/>
      <c r="CU97" s="96"/>
      <c r="CV97" s="96"/>
      <c r="CW97" s="96"/>
      <c r="CX97" s="96"/>
      <c r="CY97" s="96"/>
      <c r="CZ97" s="96"/>
      <c r="DA97" s="127"/>
      <c r="DB97" s="127"/>
      <c r="DC97" s="121"/>
      <c r="DD97" s="121"/>
      <c r="DG97" s="122"/>
      <c r="DH97" s="29"/>
      <c r="DI97" s="29"/>
      <c r="DJ97" s="29"/>
      <c r="DK97" s="29"/>
      <c r="DL97" s="29"/>
      <c r="DM97" s="29"/>
      <c r="DN97" s="29"/>
      <c r="DO97" s="29"/>
      <c r="DP97" s="29"/>
    </row>
    <row r="98" spans="1:120" s="81" customFormat="1" ht="15" customHeight="1">
      <c r="A98" s="433"/>
      <c r="B98" s="1001" t="s">
        <v>1529</v>
      </c>
      <c r="C98" s="1001"/>
      <c r="D98" s="1001"/>
      <c r="E98" s="1001"/>
      <c r="F98" s="1001"/>
      <c r="G98" s="1001"/>
      <c r="H98" s="1001"/>
      <c r="I98" s="1001"/>
      <c r="J98" s="1001"/>
      <c r="K98" s="1001"/>
      <c r="L98" s="1001"/>
      <c r="M98" s="1001"/>
      <c r="N98" s="1001"/>
      <c r="O98" s="1001"/>
      <c r="P98" s="1001"/>
      <c r="Q98" s="1001"/>
      <c r="R98" s="1001"/>
      <c r="S98" s="1001"/>
      <c r="T98" s="1001"/>
      <c r="U98" s="1001"/>
      <c r="V98" s="1001"/>
      <c r="W98" s="1001"/>
      <c r="X98" s="1001"/>
      <c r="Y98" s="1001"/>
      <c r="Z98" s="1001"/>
      <c r="AA98" s="1001"/>
      <c r="AB98" s="1001"/>
      <c r="AC98" s="1001"/>
      <c r="AD98" s="1001"/>
      <c r="AE98" s="1001"/>
      <c r="AF98" s="1001"/>
      <c r="AG98" s="547"/>
      <c r="AH98" s="1001" t="s">
        <v>1036</v>
      </c>
      <c r="AI98" s="1001"/>
      <c r="AJ98" s="1001"/>
      <c r="AK98" s="1001"/>
      <c r="AL98" s="1001"/>
      <c r="AM98" s="1001"/>
      <c r="AN98" s="1001"/>
      <c r="AO98" s="1001"/>
      <c r="AP98" s="1001"/>
      <c r="AQ98" s="1001"/>
      <c r="AR98" s="1001"/>
      <c r="AS98" s="1001"/>
      <c r="AT98" s="1001"/>
      <c r="AU98" s="1001"/>
      <c r="AV98" s="1001"/>
      <c r="AW98" s="1001"/>
      <c r="AX98" s="1001"/>
      <c r="AY98" s="547"/>
      <c r="AZ98" s="547"/>
      <c r="BA98" s="547"/>
      <c r="BB98" s="547"/>
      <c r="BC98" s="541"/>
      <c r="BD98" s="160"/>
      <c r="BE98" s="160"/>
      <c r="BF98" s="160"/>
      <c r="BG98" s="160"/>
      <c r="BH98" s="160"/>
      <c r="BI98" s="160"/>
      <c r="BJ98" s="160"/>
      <c r="BK98" s="160"/>
      <c r="BL98" s="160"/>
      <c r="BM98" s="160"/>
      <c r="BN98" s="160"/>
      <c r="BO98" s="160"/>
      <c r="BP98" s="160"/>
      <c r="BQ98" s="160"/>
      <c r="BR98" s="160"/>
      <c r="BS98" s="160"/>
      <c r="BT98" s="160"/>
      <c r="BU98" s="160"/>
      <c r="BV98" s="160"/>
      <c r="BY98" s="122"/>
      <c r="BZ98" s="29"/>
      <c r="CA98" s="29"/>
      <c r="CB98" s="29"/>
      <c r="CC98" s="29"/>
      <c r="CD98" s="29"/>
      <c r="CE98" s="29"/>
      <c r="CF98" s="29"/>
      <c r="CG98" s="29"/>
      <c r="CH98" s="29"/>
    </row>
    <row r="99" spans="1:120" s="81" customFormat="1" ht="15" customHeight="1">
      <c r="A99" s="433"/>
      <c r="B99" s="1119">
        <v>1</v>
      </c>
      <c r="C99" s="1122" t="s">
        <v>170</v>
      </c>
      <c r="D99" s="1123"/>
      <c r="E99" s="1123"/>
      <c r="F99" s="1124"/>
      <c r="G99" s="976"/>
      <c r="H99" s="977"/>
      <c r="I99" s="977"/>
      <c r="J99" s="977"/>
      <c r="K99" s="977"/>
      <c r="L99" s="977"/>
      <c r="M99" s="978"/>
      <c r="N99" s="1289" t="s">
        <v>111</v>
      </c>
      <c r="O99" s="1290"/>
      <c r="P99" s="1217"/>
      <c r="Q99" s="1109"/>
      <c r="R99" s="1095" t="s">
        <v>543</v>
      </c>
      <c r="S99" s="1100"/>
      <c r="T99" s="1076" t="s">
        <v>1526</v>
      </c>
      <c r="U99" s="1077"/>
      <c r="V99" s="1077"/>
      <c r="W99" s="1078"/>
      <c r="X99" s="1076" t="s">
        <v>112</v>
      </c>
      <c r="Y99" s="1077"/>
      <c r="Z99" s="1077"/>
      <c r="AA99" s="1078"/>
      <c r="AB99" s="988"/>
      <c r="AC99" s="989"/>
      <c r="AD99" s="989"/>
      <c r="AE99" s="989"/>
      <c r="AF99" s="542" t="s">
        <v>67</v>
      </c>
      <c r="AG99" s="865"/>
      <c r="AH99" s="1219" t="s">
        <v>116</v>
      </c>
      <c r="AI99" s="1220"/>
      <c r="AJ99" s="1220"/>
      <c r="AK99" s="1220"/>
      <c r="AL99" s="1220"/>
      <c r="AM99" s="1221"/>
      <c r="AN99" s="1222" t="s">
        <v>120</v>
      </c>
      <c r="AO99" s="1223"/>
      <c r="AP99" s="1223"/>
      <c r="AQ99" s="1223"/>
      <c r="AR99" s="1223"/>
      <c r="AS99" s="1224"/>
      <c r="AT99" s="1222" t="s">
        <v>96</v>
      </c>
      <c r="AU99" s="1223"/>
      <c r="AV99" s="1223"/>
      <c r="AW99" s="1223"/>
      <c r="AX99" s="1223"/>
      <c r="AY99" s="1223"/>
      <c r="AZ99" s="1223"/>
      <c r="BA99" s="1223"/>
      <c r="BB99" s="550" t="s">
        <v>67</v>
      </c>
      <c r="BC99" s="160"/>
      <c r="BD99" s="160"/>
      <c r="BE99" s="160"/>
      <c r="BF99" s="160"/>
      <c r="BG99" s="160"/>
      <c r="BH99" s="160"/>
      <c r="BI99" s="160"/>
      <c r="BJ99" s="160"/>
      <c r="BK99" s="160"/>
      <c r="BL99" s="160"/>
      <c r="BM99" s="160"/>
      <c r="BN99" s="160"/>
      <c r="BO99" s="160"/>
      <c r="BP99" s="160"/>
      <c r="BQ99" s="160"/>
      <c r="BR99" s="160"/>
      <c r="BU99" s="122"/>
      <c r="BV99" s="29"/>
      <c r="BW99" s="29"/>
      <c r="BX99" s="29"/>
      <c r="BY99" s="29"/>
      <c r="BZ99" s="29"/>
      <c r="CA99" s="29"/>
      <c r="CB99" s="29"/>
      <c r="CC99" s="29"/>
      <c r="CD99" s="29"/>
    </row>
    <row r="100" spans="1:120" s="81" customFormat="1" ht="15" customHeight="1">
      <c r="A100" s="433"/>
      <c r="B100" s="1120"/>
      <c r="C100" s="1114" t="s">
        <v>4</v>
      </c>
      <c r="D100" s="1115"/>
      <c r="E100" s="1115"/>
      <c r="F100" s="1116"/>
      <c r="G100" s="973"/>
      <c r="H100" s="974"/>
      <c r="I100" s="974"/>
      <c r="J100" s="974"/>
      <c r="K100" s="974"/>
      <c r="L100" s="974"/>
      <c r="M100" s="975"/>
      <c r="N100" s="1291"/>
      <c r="O100" s="1292"/>
      <c r="P100" s="1218"/>
      <c r="Q100" s="1110"/>
      <c r="R100" s="1275"/>
      <c r="S100" s="1276"/>
      <c r="T100" s="1242"/>
      <c r="U100" s="1243"/>
      <c r="V100" s="1243"/>
      <c r="W100" s="1244"/>
      <c r="X100" s="1242"/>
      <c r="Y100" s="1243"/>
      <c r="Z100" s="1243"/>
      <c r="AA100" s="1244"/>
      <c r="AB100" s="990"/>
      <c r="AC100" s="991"/>
      <c r="AD100" s="991"/>
      <c r="AE100" s="991"/>
      <c r="AF100" s="543"/>
      <c r="AG100" s="847"/>
      <c r="AH100" s="1225" t="s">
        <v>489</v>
      </c>
      <c r="AI100" s="1226"/>
      <c r="AJ100" s="1226"/>
      <c r="AK100" s="1226"/>
      <c r="AL100" s="1226"/>
      <c r="AM100" s="1226"/>
      <c r="AN100" s="1226"/>
      <c r="AO100" s="1226"/>
      <c r="AP100" s="1226"/>
      <c r="AQ100" s="1226"/>
      <c r="AR100" s="1226"/>
      <c r="AS100" s="1227"/>
      <c r="AT100" s="1228"/>
      <c r="AU100" s="1229"/>
      <c r="AV100" s="1229"/>
      <c r="AW100" s="1229"/>
      <c r="AX100" s="1229"/>
      <c r="AY100" s="1229"/>
      <c r="AZ100" s="1229"/>
      <c r="BA100" s="1229"/>
      <c r="BB100" s="551"/>
      <c r="BC100" s="29"/>
      <c r="BD100" s="29"/>
      <c r="BE100" s="29"/>
      <c r="BF100" s="29"/>
      <c r="BG100" s="29"/>
      <c r="BH100" s="29"/>
      <c r="BI100" s="29"/>
      <c r="BJ100" s="29"/>
    </row>
    <row r="101" spans="1:120" s="81" customFormat="1" ht="15" customHeight="1">
      <c r="A101" s="433"/>
      <c r="B101" s="1121"/>
      <c r="C101" s="1286" t="s">
        <v>171</v>
      </c>
      <c r="D101" s="1287"/>
      <c r="E101" s="1287"/>
      <c r="F101" s="1288"/>
      <c r="G101" s="970"/>
      <c r="H101" s="971"/>
      <c r="I101" s="971"/>
      <c r="J101" s="971"/>
      <c r="K101" s="971"/>
      <c r="L101" s="971"/>
      <c r="M101" s="971"/>
      <c r="N101" s="971"/>
      <c r="O101" s="971"/>
      <c r="P101" s="971"/>
      <c r="Q101" s="971"/>
      <c r="R101" s="971"/>
      <c r="S101" s="972"/>
      <c r="T101" s="1245" t="s">
        <v>488</v>
      </c>
      <c r="U101" s="1246"/>
      <c r="V101" s="1246"/>
      <c r="W101" s="1247"/>
      <c r="X101" s="859"/>
      <c r="Y101" s="544"/>
      <c r="Z101" s="544"/>
      <c r="AA101" s="545" t="s">
        <v>85</v>
      </c>
      <c r="AB101" s="992"/>
      <c r="AC101" s="993"/>
      <c r="AD101" s="993"/>
      <c r="AE101" s="993"/>
      <c r="AF101" s="994"/>
      <c r="AG101" s="847"/>
      <c r="AH101" s="1225" t="s">
        <v>490</v>
      </c>
      <c r="AI101" s="1226"/>
      <c r="AJ101" s="1226"/>
      <c r="AK101" s="1226"/>
      <c r="AL101" s="1226"/>
      <c r="AM101" s="1226"/>
      <c r="AN101" s="1226"/>
      <c r="AO101" s="1226"/>
      <c r="AP101" s="1227"/>
      <c r="AQ101" s="1230" t="s">
        <v>918</v>
      </c>
      <c r="AR101" s="1231"/>
      <c r="AS101" s="1231"/>
      <c r="AT101" s="1231"/>
      <c r="AU101" s="1232"/>
      <c r="AV101" s="1233" t="s">
        <v>121</v>
      </c>
      <c r="AW101" s="1234"/>
      <c r="AX101" s="1234"/>
      <c r="AY101" s="1234"/>
      <c r="AZ101" s="1234"/>
      <c r="BA101" s="1234"/>
      <c r="BB101" s="871"/>
      <c r="BC101" s="29"/>
      <c r="BD101" s="29"/>
      <c r="BE101" s="29"/>
      <c r="BF101" s="29"/>
      <c r="BG101" s="29"/>
      <c r="BH101" s="29"/>
      <c r="BI101" s="29"/>
      <c r="BJ101" s="29"/>
    </row>
    <row r="102" spans="1:120" s="81" customFormat="1" ht="15" customHeight="1">
      <c r="A102" s="433"/>
      <c r="B102" s="1119">
        <v>2</v>
      </c>
      <c r="C102" s="1122" t="s">
        <v>141</v>
      </c>
      <c r="D102" s="1123"/>
      <c r="E102" s="1123"/>
      <c r="F102" s="1124"/>
      <c r="G102" s="976"/>
      <c r="H102" s="977"/>
      <c r="I102" s="977"/>
      <c r="J102" s="977"/>
      <c r="K102" s="977"/>
      <c r="L102" s="977"/>
      <c r="M102" s="978"/>
      <c r="N102" s="1109" t="s">
        <v>111</v>
      </c>
      <c r="O102" s="1109"/>
      <c r="P102" s="1109"/>
      <c r="Q102" s="1109"/>
      <c r="R102" s="1095" t="s">
        <v>543</v>
      </c>
      <c r="S102" s="1100"/>
      <c r="T102" s="1076" t="s">
        <v>1525</v>
      </c>
      <c r="U102" s="1077"/>
      <c r="V102" s="1077"/>
      <c r="W102" s="1078"/>
      <c r="X102" s="1076" t="s">
        <v>112</v>
      </c>
      <c r="Y102" s="1077"/>
      <c r="Z102" s="1077"/>
      <c r="AA102" s="1078"/>
      <c r="AB102" s="988"/>
      <c r="AC102" s="989"/>
      <c r="AD102" s="989"/>
      <c r="AE102" s="989"/>
      <c r="AF102" s="546"/>
      <c r="AG102" s="847"/>
      <c r="AH102" s="1225" t="s">
        <v>117</v>
      </c>
      <c r="AI102" s="1226"/>
      <c r="AJ102" s="1226"/>
      <c r="AK102" s="1226"/>
      <c r="AL102" s="1226"/>
      <c r="AM102" s="1227"/>
      <c r="AN102" s="1235" t="s">
        <v>118</v>
      </c>
      <c r="AO102" s="1236"/>
      <c r="AP102" s="1236"/>
      <c r="AQ102" s="1236"/>
      <c r="AR102" s="1236"/>
      <c r="AS102" s="1236"/>
      <c r="AT102" s="1236"/>
      <c r="AU102" s="1237"/>
      <c r="AV102" s="1235" t="s">
        <v>119</v>
      </c>
      <c r="AW102" s="1236"/>
      <c r="AX102" s="1236"/>
      <c r="AY102" s="1236"/>
      <c r="AZ102" s="1236"/>
      <c r="BA102" s="1236"/>
      <c r="BB102" s="1238"/>
      <c r="BU102" s="122"/>
      <c r="BV102" s="29"/>
      <c r="BW102" s="29"/>
      <c r="BX102" s="29"/>
      <c r="BY102" s="29"/>
      <c r="BZ102" s="29"/>
      <c r="CA102" s="29"/>
      <c r="CB102" s="29"/>
      <c r="CC102" s="29"/>
      <c r="CD102" s="29"/>
    </row>
    <row r="103" spans="1:120" s="81" customFormat="1" ht="15" customHeight="1">
      <c r="A103" s="433"/>
      <c r="B103" s="1120"/>
      <c r="C103" s="1114" t="s">
        <v>4</v>
      </c>
      <c r="D103" s="1115"/>
      <c r="E103" s="1115"/>
      <c r="F103" s="1116"/>
      <c r="G103" s="973"/>
      <c r="H103" s="974"/>
      <c r="I103" s="974"/>
      <c r="J103" s="974"/>
      <c r="K103" s="974"/>
      <c r="L103" s="974"/>
      <c r="M103" s="975"/>
      <c r="N103" s="1110"/>
      <c r="O103" s="1110"/>
      <c r="P103" s="1110"/>
      <c r="Q103" s="1110"/>
      <c r="R103" s="1275"/>
      <c r="S103" s="1276"/>
      <c r="T103" s="1242"/>
      <c r="U103" s="1243"/>
      <c r="V103" s="1243"/>
      <c r="W103" s="1244"/>
      <c r="X103" s="1242"/>
      <c r="Y103" s="1243"/>
      <c r="Z103" s="1243"/>
      <c r="AA103" s="1244"/>
      <c r="AB103" s="990"/>
      <c r="AC103" s="991"/>
      <c r="AD103" s="991"/>
      <c r="AE103" s="991"/>
      <c r="AF103" s="543"/>
      <c r="AG103" s="540"/>
      <c r="AH103" s="1215" t="s">
        <v>18</v>
      </c>
      <c r="AI103" s="1216"/>
      <c r="AJ103" s="1023" t="s">
        <v>122</v>
      </c>
      <c r="AK103" s="1024"/>
      <c r="AL103" s="1024"/>
      <c r="AM103" s="1024"/>
      <c r="AN103" s="1024"/>
      <c r="AO103" s="1024"/>
      <c r="AP103" s="1024"/>
      <c r="AQ103" s="1024"/>
      <c r="AR103" s="1024"/>
      <c r="AS103" s="1024"/>
      <c r="AT103" s="1024"/>
      <c r="AU103" s="1024"/>
      <c r="AV103" s="1024"/>
      <c r="AW103" s="1024"/>
      <c r="AX103" s="1024"/>
      <c r="AY103" s="1024"/>
      <c r="AZ103" s="1024"/>
      <c r="BA103" s="1024"/>
      <c r="BB103" s="1025"/>
      <c r="BC103" s="161"/>
      <c r="BD103" s="161"/>
      <c r="BE103" s="123"/>
      <c r="BF103" s="123"/>
      <c r="BG103" s="123"/>
      <c r="BH103" s="123"/>
      <c r="BI103" s="123"/>
      <c r="BJ103" s="123"/>
      <c r="BK103" s="123"/>
      <c r="BL103" s="123"/>
      <c r="BM103" s="123"/>
      <c r="BN103" s="123"/>
      <c r="BO103" s="123"/>
      <c r="BP103" s="123"/>
      <c r="BQ103" s="123"/>
      <c r="BR103" s="123"/>
      <c r="BU103" s="122"/>
      <c r="BV103" s="29"/>
      <c r="BW103" s="29"/>
      <c r="BX103" s="29"/>
      <c r="BY103" s="29"/>
      <c r="BZ103" s="29"/>
      <c r="CA103" s="29"/>
      <c r="CB103" s="29"/>
      <c r="CC103" s="29"/>
      <c r="CD103" s="29"/>
    </row>
    <row r="104" spans="1:120" s="81" customFormat="1" ht="15" customHeight="1">
      <c r="A104" s="433"/>
      <c r="B104" s="1121"/>
      <c r="C104" s="1286" t="s">
        <v>171</v>
      </c>
      <c r="D104" s="1287"/>
      <c r="E104" s="1287"/>
      <c r="F104" s="1288"/>
      <c r="G104" s="970"/>
      <c r="H104" s="971"/>
      <c r="I104" s="971"/>
      <c r="J104" s="971"/>
      <c r="K104" s="971"/>
      <c r="L104" s="971"/>
      <c r="M104" s="971"/>
      <c r="N104" s="971"/>
      <c r="O104" s="971"/>
      <c r="P104" s="971"/>
      <c r="Q104" s="971"/>
      <c r="R104" s="971"/>
      <c r="S104" s="972"/>
      <c r="T104" s="1245" t="s">
        <v>488</v>
      </c>
      <c r="U104" s="1246"/>
      <c r="V104" s="1246"/>
      <c r="W104" s="1247"/>
      <c r="X104" s="548"/>
      <c r="Y104" s="549"/>
      <c r="Z104" s="549"/>
      <c r="AA104" s="545" t="s">
        <v>85</v>
      </c>
      <c r="AB104" s="992"/>
      <c r="AC104" s="993"/>
      <c r="AD104" s="993"/>
      <c r="AE104" s="993"/>
      <c r="AF104" s="994"/>
      <c r="AG104" s="540"/>
      <c r="AY104" s="433"/>
      <c r="BA104" s="122"/>
      <c r="BB104" s="29"/>
      <c r="BC104" s="29"/>
      <c r="BD104" s="29"/>
      <c r="BE104" s="29"/>
      <c r="BF104" s="29"/>
      <c r="BG104" s="29"/>
      <c r="BH104" s="29"/>
      <c r="BI104" s="29"/>
      <c r="BJ104" s="29"/>
    </row>
    <row r="105" spans="1:120" s="81" customFormat="1" ht="15" customHeight="1">
      <c r="A105" s="433"/>
      <c r="B105" s="1119">
        <v>3</v>
      </c>
      <c r="C105" s="1122" t="s">
        <v>141</v>
      </c>
      <c r="D105" s="1123"/>
      <c r="E105" s="1123"/>
      <c r="F105" s="1124"/>
      <c r="G105" s="976"/>
      <c r="H105" s="977"/>
      <c r="I105" s="977"/>
      <c r="J105" s="977"/>
      <c r="K105" s="977"/>
      <c r="L105" s="977"/>
      <c r="M105" s="978"/>
      <c r="N105" s="1109" t="s">
        <v>111</v>
      </c>
      <c r="O105" s="1109"/>
      <c r="P105" s="1109"/>
      <c r="Q105" s="1109"/>
      <c r="R105" s="1095" t="s">
        <v>543</v>
      </c>
      <c r="S105" s="1100"/>
      <c r="T105" s="1076" t="s">
        <v>1525</v>
      </c>
      <c r="U105" s="1077"/>
      <c r="V105" s="1077"/>
      <c r="W105" s="1078"/>
      <c r="X105" s="1076" t="s">
        <v>112</v>
      </c>
      <c r="Y105" s="1077"/>
      <c r="Z105" s="1077"/>
      <c r="AA105" s="1078"/>
      <c r="AB105" s="988"/>
      <c r="AC105" s="989"/>
      <c r="AD105" s="989"/>
      <c r="AE105" s="989"/>
      <c r="AF105" s="546"/>
      <c r="AG105" s="540"/>
      <c r="AH105" s="1019" t="s">
        <v>1037</v>
      </c>
      <c r="AI105" s="1019"/>
      <c r="AJ105" s="1019"/>
      <c r="AK105" s="1019"/>
      <c r="AL105" s="1019"/>
      <c r="AM105" s="1019"/>
      <c r="AN105" s="1019"/>
      <c r="AO105" s="1019"/>
      <c r="AP105" s="1019"/>
      <c r="AQ105" s="1019"/>
      <c r="AR105" s="1019"/>
      <c r="AS105" s="1019"/>
      <c r="AT105" s="1019"/>
      <c r="AU105" s="1019"/>
      <c r="AV105" s="1019"/>
      <c r="AW105" s="1019"/>
      <c r="AX105" s="1019"/>
      <c r="AY105" s="1019"/>
      <c r="AZ105" s="1019"/>
      <c r="BA105" s="1019"/>
      <c r="BB105" s="1019"/>
      <c r="BC105" s="29"/>
      <c r="BD105" s="29"/>
      <c r="BE105" s="29"/>
      <c r="BF105" s="29"/>
      <c r="BG105" s="29"/>
      <c r="BH105" s="29"/>
      <c r="BI105" s="29"/>
      <c r="BJ105" s="29"/>
    </row>
    <row r="106" spans="1:120" s="81" customFormat="1" ht="15" customHeight="1">
      <c r="A106" s="433"/>
      <c r="B106" s="1120"/>
      <c r="C106" s="1114" t="s">
        <v>4</v>
      </c>
      <c r="D106" s="1115"/>
      <c r="E106" s="1115"/>
      <c r="F106" s="1116"/>
      <c r="G106" s="973"/>
      <c r="H106" s="974"/>
      <c r="I106" s="974"/>
      <c r="J106" s="974"/>
      <c r="K106" s="974"/>
      <c r="L106" s="974"/>
      <c r="M106" s="975"/>
      <c r="N106" s="1110"/>
      <c r="O106" s="1110"/>
      <c r="P106" s="1110"/>
      <c r="Q106" s="1110"/>
      <c r="R106" s="1275"/>
      <c r="S106" s="1276"/>
      <c r="T106" s="1242"/>
      <c r="U106" s="1243"/>
      <c r="V106" s="1243"/>
      <c r="W106" s="1244"/>
      <c r="X106" s="1242"/>
      <c r="Y106" s="1243"/>
      <c r="Z106" s="1243"/>
      <c r="AA106" s="1244"/>
      <c r="AB106" s="990"/>
      <c r="AC106" s="991"/>
      <c r="AD106" s="991"/>
      <c r="AE106" s="991"/>
      <c r="AF106" s="543"/>
      <c r="AG106" s="540"/>
      <c r="AH106" s="998" t="s">
        <v>98</v>
      </c>
      <c r="AI106" s="999"/>
      <c r="AJ106" s="1000"/>
      <c r="AK106" s="1335" t="s">
        <v>1477</v>
      </c>
      <c r="AL106" s="1336"/>
      <c r="AM106" s="1336"/>
      <c r="AN106" s="1336"/>
      <c r="AO106" s="1336"/>
      <c r="AP106" s="1336"/>
      <c r="AQ106" s="1336"/>
      <c r="AR106" s="1337"/>
      <c r="AS106" s="998" t="s">
        <v>93</v>
      </c>
      <c r="AT106" s="999"/>
      <c r="AU106" s="999"/>
      <c r="AV106" s="999"/>
      <c r="AW106" s="1000"/>
      <c r="AX106" s="998" t="s">
        <v>90</v>
      </c>
      <c r="AY106" s="999"/>
      <c r="AZ106" s="999"/>
      <c r="BA106" s="999"/>
      <c r="BB106" s="1000"/>
      <c r="BC106" s="29"/>
      <c r="BD106" s="29"/>
      <c r="BE106" s="29"/>
      <c r="BF106" s="29"/>
      <c r="BG106" s="29"/>
      <c r="BH106" s="29"/>
      <c r="BI106" s="29"/>
      <c r="BJ106" s="29"/>
    </row>
    <row r="107" spans="1:120" s="81" customFormat="1" ht="15" customHeight="1">
      <c r="A107" s="433"/>
      <c r="B107" s="1121"/>
      <c r="C107" s="1286" t="s">
        <v>171</v>
      </c>
      <c r="D107" s="1287"/>
      <c r="E107" s="1287"/>
      <c r="F107" s="1288"/>
      <c r="G107" s="970"/>
      <c r="H107" s="971"/>
      <c r="I107" s="971"/>
      <c r="J107" s="971"/>
      <c r="K107" s="971"/>
      <c r="L107" s="971"/>
      <c r="M107" s="971"/>
      <c r="N107" s="971"/>
      <c r="O107" s="971"/>
      <c r="P107" s="971"/>
      <c r="Q107" s="971"/>
      <c r="R107" s="971"/>
      <c r="S107" s="972"/>
      <c r="T107" s="1245" t="s">
        <v>488</v>
      </c>
      <c r="U107" s="1246"/>
      <c r="V107" s="1246"/>
      <c r="W107" s="1247"/>
      <c r="X107" s="548"/>
      <c r="Y107" s="549"/>
      <c r="Z107" s="549"/>
      <c r="AA107" s="545" t="s">
        <v>85</v>
      </c>
      <c r="AB107" s="992"/>
      <c r="AC107" s="993"/>
      <c r="AD107" s="993"/>
      <c r="AE107" s="993"/>
      <c r="AF107" s="994"/>
      <c r="AG107" s="540"/>
      <c r="AH107" s="1329">
        <f>営業等!D34</f>
        <v>0</v>
      </c>
      <c r="AI107" s="1330"/>
      <c r="AJ107" s="1331"/>
      <c r="AK107" s="1329">
        <f>営業等!H34</f>
        <v>0</v>
      </c>
      <c r="AL107" s="1330"/>
      <c r="AM107" s="1330"/>
      <c r="AN107" s="1330"/>
      <c r="AO107" s="1330"/>
      <c r="AP107" s="1330"/>
      <c r="AQ107" s="1330"/>
      <c r="AR107" s="1331"/>
      <c r="AS107" s="1011">
        <f>営業等!D33</f>
        <v>0</v>
      </c>
      <c r="AT107" s="1012"/>
      <c r="AU107" s="1012"/>
      <c r="AV107" s="1012"/>
      <c r="AW107" s="879" t="s">
        <v>67</v>
      </c>
      <c r="AX107" s="1011">
        <f>営業等!H33</f>
        <v>0</v>
      </c>
      <c r="AY107" s="1012"/>
      <c r="AZ107" s="1012"/>
      <c r="BA107" s="1012"/>
      <c r="BB107" s="880" t="s">
        <v>67</v>
      </c>
      <c r="BC107" s="29"/>
      <c r="BD107" s="29"/>
      <c r="BE107" s="29"/>
      <c r="BF107" s="29"/>
      <c r="BG107" s="29"/>
      <c r="BH107" s="29"/>
      <c r="BI107" s="29"/>
      <c r="BJ107" s="29"/>
    </row>
    <row r="108" spans="1:120" s="81" customFormat="1" ht="15" customHeight="1">
      <c r="A108" s="433"/>
      <c r="B108" s="540"/>
      <c r="C108" s="1272" t="s">
        <v>113</v>
      </c>
      <c r="D108" s="1273"/>
      <c r="E108" s="1273"/>
      <c r="F108" s="1273"/>
      <c r="G108" s="1273"/>
      <c r="H108" s="1273"/>
      <c r="I108" s="1273"/>
      <c r="J108" s="1273"/>
      <c r="K108" s="1273"/>
      <c r="L108" s="1273"/>
      <c r="M108" s="1273"/>
      <c r="N108" s="1273"/>
      <c r="O108" s="1274"/>
      <c r="P108" s="1272" t="s">
        <v>114</v>
      </c>
      <c r="Q108" s="1273"/>
      <c r="R108" s="1273"/>
      <c r="S108" s="1273"/>
      <c r="T108" s="1273"/>
      <c r="U108" s="1273"/>
      <c r="V108" s="1273"/>
      <c r="W108" s="1274"/>
      <c r="X108" s="1272" t="s">
        <v>115</v>
      </c>
      <c r="Y108" s="1273"/>
      <c r="Z108" s="1273"/>
      <c r="AA108" s="1274"/>
      <c r="AB108" s="995"/>
      <c r="AC108" s="996"/>
      <c r="AD108" s="996"/>
      <c r="AE108" s="996"/>
      <c r="AF108" s="997"/>
      <c r="AG108" s="540"/>
      <c r="AH108" s="1332">
        <f>営業等!D39</f>
        <v>0</v>
      </c>
      <c r="AI108" s="1333"/>
      <c r="AJ108" s="1334"/>
      <c r="AK108" s="1332">
        <f>営業等!H39</f>
        <v>0</v>
      </c>
      <c r="AL108" s="1333"/>
      <c r="AM108" s="1333"/>
      <c r="AN108" s="1333"/>
      <c r="AO108" s="1333"/>
      <c r="AP108" s="1333"/>
      <c r="AQ108" s="1333"/>
      <c r="AR108" s="1334"/>
      <c r="AS108" s="1006">
        <f>営業等!D38</f>
        <v>0</v>
      </c>
      <c r="AT108" s="1007"/>
      <c r="AU108" s="1007"/>
      <c r="AV108" s="1007"/>
      <c r="AW108" s="870"/>
      <c r="AX108" s="1006">
        <f>営業等!H38</f>
        <v>0</v>
      </c>
      <c r="AY108" s="1007"/>
      <c r="AZ108" s="1007"/>
      <c r="BA108" s="1007"/>
      <c r="BB108" s="567"/>
      <c r="BC108" s="29"/>
      <c r="BD108" s="29"/>
      <c r="BE108" s="29"/>
      <c r="BF108" s="29"/>
      <c r="BG108" s="29"/>
      <c r="BH108" s="29"/>
      <c r="BI108" s="29"/>
      <c r="BJ108" s="29"/>
    </row>
    <row r="109" spans="1:120" ht="15" customHeight="1">
      <c r="A109" s="552"/>
      <c r="B109" s="552"/>
      <c r="C109" s="552"/>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552"/>
      <c r="AD109" s="552"/>
      <c r="AE109" s="552"/>
      <c r="AF109" s="552"/>
      <c r="AG109" s="552"/>
      <c r="AH109" s="1020">
        <f>営業等!D42</f>
        <v>0</v>
      </c>
      <c r="AI109" s="1021"/>
      <c r="AJ109" s="1022"/>
      <c r="AK109" s="1020">
        <f>営業等!H42</f>
        <v>0</v>
      </c>
      <c r="AL109" s="1021"/>
      <c r="AM109" s="1021"/>
      <c r="AN109" s="1021"/>
      <c r="AO109" s="1021"/>
      <c r="AP109" s="1021"/>
      <c r="AQ109" s="1021"/>
      <c r="AR109" s="1022"/>
      <c r="AS109" s="1008">
        <f>営業等!D41</f>
        <v>0</v>
      </c>
      <c r="AT109" s="1009"/>
      <c r="AU109" s="1009"/>
      <c r="AV109" s="1009"/>
      <c r="AW109" s="573"/>
      <c r="AX109" s="1008">
        <f>営業等!H41</f>
        <v>0</v>
      </c>
      <c r="AY109" s="1009"/>
      <c r="AZ109" s="1009"/>
      <c r="BA109" s="1009"/>
      <c r="BB109" s="574"/>
      <c r="BC109" s="317"/>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row>
    <row r="110" spans="1:120" ht="15" customHeight="1">
      <c r="A110" s="317"/>
      <c r="B110" s="1271" t="s">
        <v>92</v>
      </c>
      <c r="C110" s="1271"/>
      <c r="D110" s="1271"/>
      <c r="E110" s="1271"/>
      <c r="F110" s="1271"/>
      <c r="G110" s="1271"/>
      <c r="H110" s="1271"/>
      <c r="I110" s="1271"/>
      <c r="J110" s="1271"/>
      <c r="K110" s="1271"/>
      <c r="L110" s="1271"/>
      <c r="M110" s="1271"/>
      <c r="N110" s="1271"/>
      <c r="O110" s="1271"/>
      <c r="P110" s="1271"/>
      <c r="Q110" s="1271"/>
      <c r="R110" s="1271"/>
      <c r="S110" s="1271"/>
      <c r="T110" s="1271"/>
      <c r="U110" s="1271"/>
      <c r="V110" s="1271"/>
      <c r="W110" s="1271"/>
      <c r="X110" s="1271"/>
      <c r="Y110" s="1271"/>
      <c r="Z110" s="1271"/>
      <c r="AA110" s="1271"/>
      <c r="AB110" s="1271"/>
      <c r="AC110" s="1271"/>
      <c r="AD110" s="1271"/>
      <c r="AE110" s="1271"/>
      <c r="AF110" s="1271"/>
      <c r="AG110" s="552"/>
      <c r="AH110" s="860"/>
      <c r="AI110" s="860"/>
      <c r="AJ110" s="860"/>
      <c r="AK110" s="860"/>
      <c r="AL110" s="860"/>
      <c r="AM110" s="860"/>
      <c r="AN110" s="860"/>
      <c r="AO110" s="860"/>
      <c r="AP110" s="860"/>
      <c r="AQ110" s="860"/>
      <c r="AR110" s="860"/>
      <c r="AS110" s="861"/>
      <c r="AT110" s="861"/>
      <c r="AU110" s="861"/>
      <c r="AV110" s="861"/>
      <c r="AW110" s="862"/>
      <c r="AX110" s="861"/>
      <c r="AY110" s="861"/>
      <c r="AZ110" s="861"/>
      <c r="BA110" s="861"/>
      <c r="BB110" s="848"/>
      <c r="BC110" s="552"/>
      <c r="BD110" s="23"/>
      <c r="BE110" s="23"/>
      <c r="BF110" s="23"/>
      <c r="BG110" s="23"/>
      <c r="CD110" s="23"/>
      <c r="CE110" s="23"/>
      <c r="CF110" s="23"/>
      <c r="CG110" s="23"/>
      <c r="CH110" s="23"/>
      <c r="CI110" s="23"/>
      <c r="CJ110" s="23"/>
      <c r="CK110" s="23"/>
      <c r="CL110" s="23"/>
      <c r="CM110" s="23"/>
      <c r="CN110" s="23"/>
      <c r="CO110" s="23"/>
      <c r="CP110" s="23"/>
      <c r="CQ110" s="23"/>
      <c r="CR110" s="23"/>
      <c r="CS110" s="23"/>
      <c r="CT110" s="142"/>
      <c r="DF110" s="5"/>
      <c r="DG110"/>
      <c r="DP110" s="1"/>
    </row>
    <row r="111" spans="1:120" s="19" customFormat="1" ht="15" customHeight="1">
      <c r="A111" s="553"/>
      <c r="B111" s="1156"/>
      <c r="C111" s="1156"/>
      <c r="D111" s="1156"/>
      <c r="E111" s="1156"/>
      <c r="F111" s="1157"/>
      <c r="G111" s="998" t="s">
        <v>93</v>
      </c>
      <c r="H111" s="999"/>
      <c r="I111" s="999"/>
      <c r="J111" s="999"/>
      <c r="K111" s="1000"/>
      <c r="L111" s="1052" t="s">
        <v>542</v>
      </c>
      <c r="M111" s="999"/>
      <c r="N111" s="999"/>
      <c r="O111" s="999"/>
      <c r="P111" s="999"/>
      <c r="Q111" s="1326" t="s">
        <v>255</v>
      </c>
      <c r="R111" s="1327"/>
      <c r="S111" s="1327"/>
      <c r="T111" s="1327"/>
      <c r="U111" s="1328"/>
      <c r="V111" s="999" t="s">
        <v>94</v>
      </c>
      <c r="W111" s="999"/>
      <c r="X111" s="999"/>
      <c r="Y111" s="999"/>
      <c r="Z111" s="999"/>
      <c r="AA111" s="1326" t="s">
        <v>487</v>
      </c>
      <c r="AB111" s="1327"/>
      <c r="AC111" s="1327"/>
      <c r="AD111" s="1327"/>
      <c r="AE111" s="1327"/>
      <c r="AF111" s="1328"/>
      <c r="AG111" s="554"/>
      <c r="AH111" s="1019" t="s">
        <v>1039</v>
      </c>
      <c r="AI111" s="1019"/>
      <c r="AJ111" s="1019"/>
      <c r="AK111" s="1019"/>
      <c r="AL111" s="1019"/>
      <c r="AM111" s="1019"/>
      <c r="AN111" s="1019"/>
      <c r="AO111" s="1019"/>
      <c r="AP111" s="1019"/>
      <c r="AQ111" s="1019"/>
      <c r="AR111" s="1019"/>
      <c r="AS111" s="1019"/>
      <c r="AT111" s="1019"/>
      <c r="AU111" s="1019"/>
      <c r="AV111" s="1019"/>
      <c r="AW111" s="1019"/>
      <c r="AX111" s="1019"/>
      <c r="AY111" s="1019"/>
      <c r="AZ111" s="1019"/>
      <c r="BA111" s="1019"/>
      <c r="BB111" s="1019"/>
      <c r="BC111" s="553"/>
      <c r="BE111" s="21"/>
    </row>
    <row r="112" spans="1:120" ht="15" customHeight="1">
      <c r="A112" s="317"/>
      <c r="B112" s="1193" t="s">
        <v>95</v>
      </c>
      <c r="C112" s="1189"/>
      <c r="D112" s="1189"/>
      <c r="E112" s="1189" t="s">
        <v>43</v>
      </c>
      <c r="F112" s="1190"/>
      <c r="G112" s="1523">
        <f>一時所得等!H4</f>
        <v>0</v>
      </c>
      <c r="H112" s="1010"/>
      <c r="I112" s="1010"/>
      <c r="J112" s="1010"/>
      <c r="K112" s="555" t="s">
        <v>67</v>
      </c>
      <c r="L112" s="1010">
        <f>一時所得等!H5</f>
        <v>0</v>
      </c>
      <c r="M112" s="1010"/>
      <c r="N112" s="1010"/>
      <c r="O112" s="1010"/>
      <c r="P112" s="556" t="s">
        <v>67</v>
      </c>
      <c r="Q112" s="1523">
        <f>一時所得等!L4</f>
        <v>0</v>
      </c>
      <c r="R112" s="1010"/>
      <c r="S112" s="1010"/>
      <c r="T112" s="1010"/>
      <c r="U112" s="557" t="s">
        <v>67</v>
      </c>
      <c r="V112" s="1010">
        <f>計算用資料!C164</f>
        <v>0</v>
      </c>
      <c r="W112" s="1010"/>
      <c r="X112" s="1010"/>
      <c r="Y112" s="1010"/>
      <c r="Z112" s="558" t="s">
        <v>67</v>
      </c>
      <c r="AA112" s="559" t="s">
        <v>29</v>
      </c>
      <c r="AB112" s="1010">
        <f>一時所得等!L6</f>
        <v>0</v>
      </c>
      <c r="AC112" s="1010"/>
      <c r="AD112" s="1010"/>
      <c r="AE112" s="1010"/>
      <c r="AF112" s="557" t="s">
        <v>67</v>
      </c>
      <c r="AG112" s="560"/>
      <c r="AH112" s="1051" t="s">
        <v>919</v>
      </c>
      <c r="AI112" s="1052"/>
      <c r="AJ112" s="1053"/>
      <c r="AK112" s="1239" t="s">
        <v>1477</v>
      </c>
      <c r="AL112" s="1240"/>
      <c r="AM112" s="1240"/>
      <c r="AN112" s="1240"/>
      <c r="AO112" s="1241"/>
      <c r="AP112" s="1051" t="s">
        <v>99</v>
      </c>
      <c r="AQ112" s="1052"/>
      <c r="AR112" s="1052"/>
      <c r="AS112" s="1053"/>
      <c r="AT112" s="1051" t="s">
        <v>93</v>
      </c>
      <c r="AU112" s="1052"/>
      <c r="AV112" s="1052"/>
      <c r="AW112" s="1052"/>
      <c r="AX112" s="1053"/>
      <c r="AY112" s="1051" t="s">
        <v>90</v>
      </c>
      <c r="AZ112" s="1052"/>
      <c r="BA112" s="1052"/>
      <c r="BB112" s="1053"/>
      <c r="BC112" s="317"/>
      <c r="BE112" s="5"/>
      <c r="BF112"/>
      <c r="BG112"/>
      <c r="BH112"/>
      <c r="BI112"/>
      <c r="BJ112"/>
      <c r="BK112"/>
      <c r="BL112"/>
      <c r="BM112"/>
      <c r="BN112"/>
      <c r="DG112" s="1"/>
      <c r="DH112" s="1"/>
      <c r="DI112" s="1"/>
      <c r="DJ112" s="1"/>
      <c r="DK112" s="1"/>
      <c r="DL112" s="1"/>
      <c r="DM112" s="1"/>
      <c r="DN112" s="1"/>
      <c r="DO112" s="1"/>
      <c r="DP112" s="1"/>
    </row>
    <row r="113" spans="1:120" ht="15" customHeight="1">
      <c r="A113" s="317"/>
      <c r="B113" s="1194"/>
      <c r="C113" s="1191"/>
      <c r="D113" s="1191"/>
      <c r="E113" s="1191" t="s">
        <v>44</v>
      </c>
      <c r="F113" s="1192"/>
      <c r="G113" s="1195">
        <f>一時所得等!H11</f>
        <v>0</v>
      </c>
      <c r="H113" s="1161"/>
      <c r="I113" s="1161"/>
      <c r="J113" s="1161"/>
      <c r="K113" s="561"/>
      <c r="L113" s="1161">
        <f>一時所得等!H12</f>
        <v>0</v>
      </c>
      <c r="M113" s="1161"/>
      <c r="N113" s="1161"/>
      <c r="O113" s="1161"/>
      <c r="P113" s="562"/>
      <c r="Q113" s="1195">
        <f>一時所得等!L11</f>
        <v>0</v>
      </c>
      <c r="R113" s="1161"/>
      <c r="S113" s="1161"/>
      <c r="T113" s="1161"/>
      <c r="U113" s="561"/>
      <c r="V113" s="1161"/>
      <c r="W113" s="1161"/>
      <c r="X113" s="1161"/>
      <c r="Y113" s="1161"/>
      <c r="Z113" s="563"/>
      <c r="AA113" s="564" t="s">
        <v>253</v>
      </c>
      <c r="AB113" s="1161">
        <f>一時所得等!L13</f>
        <v>0</v>
      </c>
      <c r="AC113" s="1161"/>
      <c r="AD113" s="1161"/>
      <c r="AE113" s="1161"/>
      <c r="AF113" s="565"/>
      <c r="AG113" s="566"/>
      <c r="AH113" s="1614">
        <f>営業等!D23</f>
        <v>0</v>
      </c>
      <c r="AI113" s="1615"/>
      <c r="AJ113" s="1616"/>
      <c r="AK113" s="1614">
        <f>営業等!H23</f>
        <v>0</v>
      </c>
      <c r="AL113" s="1615"/>
      <c r="AM113" s="1615"/>
      <c r="AN113" s="1615"/>
      <c r="AO113" s="1616"/>
      <c r="AP113" s="979" t="s">
        <v>100</v>
      </c>
      <c r="AQ113" s="980"/>
      <c r="AR113" s="980"/>
      <c r="AS113" s="981"/>
      <c r="AT113" s="1608">
        <f>営業等!D22</f>
        <v>0</v>
      </c>
      <c r="AU113" s="1609"/>
      <c r="AV113" s="1609"/>
      <c r="AW113" s="1609"/>
      <c r="AX113" s="578" t="s">
        <v>67</v>
      </c>
      <c r="AY113" s="1608">
        <f>営業等!H22</f>
        <v>0</v>
      </c>
      <c r="AZ113" s="1609"/>
      <c r="BA113" s="1609"/>
      <c r="BB113" s="579" t="s">
        <v>67</v>
      </c>
      <c r="BC113" s="317"/>
      <c r="BE113" s="5"/>
      <c r="BF113"/>
      <c r="BG113"/>
      <c r="BH113"/>
      <c r="BI113"/>
      <c r="BJ113"/>
      <c r="BK113"/>
      <c r="BL113"/>
      <c r="BM113"/>
      <c r="BN113"/>
      <c r="DG113" s="1"/>
      <c r="DH113" s="1"/>
      <c r="DI113" s="1"/>
      <c r="DJ113" s="1"/>
      <c r="DK113" s="1"/>
      <c r="DL113" s="1"/>
      <c r="DM113" s="1"/>
      <c r="DN113" s="1"/>
      <c r="DO113" s="1"/>
      <c r="DP113" s="1"/>
    </row>
    <row r="114" spans="1:120" ht="15" customHeight="1">
      <c r="A114" s="317"/>
      <c r="B114" s="1158" t="s">
        <v>254</v>
      </c>
      <c r="C114" s="1159"/>
      <c r="D114" s="1159"/>
      <c r="E114" s="1159"/>
      <c r="F114" s="1160"/>
      <c r="G114" s="1154">
        <f>一時所得等!H17</f>
        <v>0</v>
      </c>
      <c r="H114" s="1155"/>
      <c r="I114" s="1155"/>
      <c r="J114" s="1155"/>
      <c r="K114" s="568"/>
      <c r="L114" s="1155">
        <f>一時所得等!H18</f>
        <v>0</v>
      </c>
      <c r="M114" s="1155"/>
      <c r="N114" s="1155"/>
      <c r="O114" s="1155"/>
      <c r="P114" s="569"/>
      <c r="Q114" s="1154">
        <f>一時所得等!L17</f>
        <v>0</v>
      </c>
      <c r="R114" s="1155"/>
      <c r="S114" s="1155"/>
      <c r="T114" s="1155"/>
      <c r="U114" s="568"/>
      <c r="V114" s="1155">
        <f>一時所得等!L18</f>
        <v>0</v>
      </c>
      <c r="W114" s="1155"/>
      <c r="X114" s="1155"/>
      <c r="Y114" s="1155"/>
      <c r="Z114" s="569"/>
      <c r="AA114" s="570" t="s">
        <v>97</v>
      </c>
      <c r="AB114" s="1155">
        <f>一時所得等!L19</f>
        <v>0</v>
      </c>
      <c r="AC114" s="1155"/>
      <c r="AD114" s="1155"/>
      <c r="AE114" s="1155"/>
      <c r="AF114" s="571"/>
      <c r="AG114" s="566"/>
      <c r="AH114" s="1617">
        <f>営業等!D26</f>
        <v>0</v>
      </c>
      <c r="AI114" s="1618"/>
      <c r="AJ114" s="1619"/>
      <c r="AK114" s="1617">
        <f>営業等!H26</f>
        <v>0</v>
      </c>
      <c r="AL114" s="1618"/>
      <c r="AM114" s="1618"/>
      <c r="AN114" s="1618"/>
      <c r="AO114" s="1619"/>
      <c r="AP114" s="982" t="s">
        <v>100</v>
      </c>
      <c r="AQ114" s="983"/>
      <c r="AR114" s="983"/>
      <c r="AS114" s="984"/>
      <c r="AT114" s="1610">
        <f>営業等!D25</f>
        <v>0</v>
      </c>
      <c r="AU114" s="1611"/>
      <c r="AV114" s="1611"/>
      <c r="AW114" s="1611"/>
      <c r="AX114" s="580"/>
      <c r="AY114" s="1610">
        <f>営業等!H25</f>
        <v>0</v>
      </c>
      <c r="AZ114" s="1611"/>
      <c r="BA114" s="1611"/>
      <c r="BB114" s="581"/>
      <c r="BC114" s="317"/>
      <c r="BE114" s="5"/>
      <c r="BF114"/>
      <c r="BG114"/>
      <c r="BH114"/>
      <c r="BI114"/>
      <c r="BJ114"/>
      <c r="BK114"/>
      <c r="BL114"/>
      <c r="BM114"/>
      <c r="BN114"/>
      <c r="DG114" s="1"/>
      <c r="DH114" s="1"/>
      <c r="DI114" s="1"/>
      <c r="DJ114" s="1"/>
      <c r="DK114" s="1"/>
      <c r="DL114" s="1"/>
      <c r="DM114" s="1"/>
      <c r="DN114" s="1"/>
      <c r="DO114" s="1"/>
      <c r="DP114" s="1"/>
    </row>
    <row r="115" spans="1:120" ht="15" customHeight="1">
      <c r="A115" s="317"/>
      <c r="B115" s="1140" t="s">
        <v>699</v>
      </c>
      <c r="C115" s="1141"/>
      <c r="D115" s="1141"/>
      <c r="E115" s="1141"/>
      <c r="F115" s="1141"/>
      <c r="G115" s="1141"/>
      <c r="H115" s="1141"/>
      <c r="I115" s="1141"/>
      <c r="J115" s="1141"/>
      <c r="K115" s="1141"/>
      <c r="L115" s="1141"/>
      <c r="M115" s="1141"/>
      <c r="N115" s="1141"/>
      <c r="O115" s="1141"/>
      <c r="P115" s="1141"/>
      <c r="Q115" s="1143" t="s">
        <v>484</v>
      </c>
      <c r="R115" s="1144"/>
      <c r="S115" s="1144"/>
      <c r="T115" s="1144"/>
      <c r="U115" s="1144"/>
      <c r="V115" s="1144"/>
      <c r="W115" s="1144"/>
      <c r="X115" s="1144"/>
      <c r="Y115" s="1144"/>
      <c r="Z115" s="1145"/>
      <c r="AA115" s="1196">
        <f>一時所得等!L22</f>
        <v>0</v>
      </c>
      <c r="AB115" s="1197"/>
      <c r="AC115" s="1197"/>
      <c r="AD115" s="1197"/>
      <c r="AE115" s="1197"/>
      <c r="AF115" s="572"/>
      <c r="AG115" s="566"/>
      <c r="AH115" s="1620">
        <f>営業等!D29</f>
        <v>0</v>
      </c>
      <c r="AI115" s="1621"/>
      <c r="AJ115" s="1622"/>
      <c r="AK115" s="1620">
        <f>営業等!H29</f>
        <v>0</v>
      </c>
      <c r="AL115" s="1621"/>
      <c r="AM115" s="1621"/>
      <c r="AN115" s="1621"/>
      <c r="AO115" s="1622"/>
      <c r="AP115" s="985" t="s">
        <v>100</v>
      </c>
      <c r="AQ115" s="986"/>
      <c r="AR115" s="986"/>
      <c r="AS115" s="987"/>
      <c r="AT115" s="1612">
        <f>営業等!D28</f>
        <v>0</v>
      </c>
      <c r="AU115" s="1613"/>
      <c r="AV115" s="1613"/>
      <c r="AW115" s="1613"/>
      <c r="AX115" s="580"/>
      <c r="AY115" s="1612">
        <f>営業等!L28</f>
        <v>0</v>
      </c>
      <c r="AZ115" s="1613"/>
      <c r="BA115" s="1613"/>
      <c r="BB115" s="581"/>
      <c r="BC115" s="317"/>
      <c r="BE115" s="5"/>
      <c r="BF115"/>
      <c r="BG115"/>
      <c r="BH115"/>
      <c r="BI115"/>
      <c r="BJ115"/>
      <c r="BK115"/>
      <c r="BL115"/>
      <c r="BM115"/>
      <c r="BN115"/>
      <c r="DG115" s="1"/>
      <c r="DH115" s="1"/>
      <c r="DI115" s="1"/>
      <c r="DJ115" s="1"/>
      <c r="DK115" s="1"/>
      <c r="DL115" s="1"/>
      <c r="DM115" s="1"/>
      <c r="DN115" s="1"/>
      <c r="DO115" s="1"/>
      <c r="DP115" s="1"/>
    </row>
    <row r="116" spans="1:120" ht="15" customHeight="1">
      <c r="A116" s="317"/>
      <c r="B116" s="1142"/>
      <c r="C116" s="1142"/>
      <c r="D116" s="1142"/>
      <c r="E116" s="1142"/>
      <c r="F116" s="1142"/>
      <c r="G116" s="1142"/>
      <c r="H116" s="1142"/>
      <c r="I116" s="1142"/>
      <c r="J116" s="1142"/>
      <c r="K116" s="1142"/>
      <c r="L116" s="1142"/>
      <c r="M116" s="1142"/>
      <c r="N116" s="1142"/>
      <c r="O116" s="1142"/>
      <c r="P116" s="1142"/>
      <c r="Q116" s="575"/>
      <c r="R116" s="575"/>
      <c r="S116" s="575"/>
      <c r="T116" s="575"/>
      <c r="U116" s="575"/>
      <c r="V116" s="575"/>
      <c r="W116" s="575"/>
      <c r="X116" s="576"/>
      <c r="Y116" s="576"/>
      <c r="Z116" s="576"/>
      <c r="AA116" s="576"/>
      <c r="AB116" s="576"/>
      <c r="AC116" s="576"/>
      <c r="AD116" s="576"/>
      <c r="AE116" s="576"/>
      <c r="AF116" s="576"/>
      <c r="AG116" s="576"/>
      <c r="AH116" s="863"/>
      <c r="AI116" s="863"/>
      <c r="AJ116" s="863"/>
      <c r="AK116" s="863"/>
      <c r="AL116" s="863"/>
      <c r="AM116" s="863"/>
      <c r="AN116" s="863"/>
      <c r="AO116" s="864"/>
      <c r="AP116" s="1203" t="s">
        <v>486</v>
      </c>
      <c r="AQ116" s="1203"/>
      <c r="AR116" s="1203"/>
      <c r="AS116" s="1203"/>
      <c r="AT116" s="1203"/>
      <c r="AU116" s="1203"/>
      <c r="AV116" s="1203"/>
      <c r="AW116" s="1203"/>
      <c r="AX116" s="1203"/>
      <c r="AY116" s="1213"/>
      <c r="AZ116" s="1214"/>
      <c r="BA116" s="1214"/>
      <c r="BB116" s="583"/>
      <c r="BC116" s="577"/>
      <c r="BD116" s="111"/>
      <c r="BE116" s="111"/>
      <c r="BF116" s="111"/>
      <c r="BG116" s="22"/>
      <c r="BH116" s="22"/>
      <c r="BI116" s="2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0"/>
      <c r="CE116" s="110"/>
      <c r="CF116" s="110"/>
      <c r="CG116" s="110"/>
      <c r="CH116" s="110"/>
      <c r="CI116" s="110"/>
      <c r="CJ116" s="110"/>
      <c r="CK116" s="110"/>
      <c r="CL116" s="110"/>
      <c r="CM116" s="110"/>
      <c r="CN116" s="110"/>
      <c r="CO116" s="79"/>
      <c r="CP116" s="79"/>
      <c r="CQ116" s="110"/>
      <c r="CR116" s="110"/>
      <c r="CS116" s="110"/>
      <c r="CT116" s="110"/>
      <c r="CU116" s="110"/>
      <c r="CV116" s="110"/>
      <c r="CW116" s="110"/>
      <c r="CX116" s="110"/>
      <c r="CY116" s="110"/>
      <c r="CZ116" s="110"/>
      <c r="DA116" s="110"/>
      <c r="DB116" s="110"/>
      <c r="DC116" s="79"/>
      <c r="DD116" s="79"/>
    </row>
    <row r="117" spans="1:120" ht="15" customHeight="1">
      <c r="A117" s="317"/>
      <c r="B117" s="1019" t="s">
        <v>1038</v>
      </c>
      <c r="C117" s="1019"/>
      <c r="D117" s="1019"/>
      <c r="E117" s="1019"/>
      <c r="F117" s="1019"/>
      <c r="G117" s="1019"/>
      <c r="H117" s="1019"/>
      <c r="I117" s="1019"/>
      <c r="J117" s="1019"/>
      <c r="K117" s="1019"/>
      <c r="L117" s="1019"/>
      <c r="M117" s="1019"/>
      <c r="N117" s="1019"/>
      <c r="O117" s="1019"/>
      <c r="P117" s="1019"/>
      <c r="Q117" s="1019"/>
      <c r="R117" s="1019"/>
      <c r="S117" s="1019"/>
      <c r="T117" s="1019"/>
      <c r="U117" s="1019"/>
      <c r="V117" s="1019"/>
      <c r="W117" s="1019"/>
      <c r="X117" s="1019"/>
      <c r="Y117" s="1019"/>
      <c r="Z117" s="1019"/>
      <c r="AA117" s="1019"/>
      <c r="AB117" s="1019"/>
      <c r="AC117" s="1019"/>
      <c r="AD117" s="1019"/>
      <c r="AE117" s="1019"/>
      <c r="AF117" s="1019"/>
      <c r="AG117" s="317"/>
      <c r="AH117" s="582"/>
      <c r="AI117" s="582"/>
      <c r="AJ117" s="582"/>
      <c r="AK117" s="582"/>
      <c r="AL117" s="582"/>
      <c r="AM117" s="582"/>
      <c r="AN117" s="584"/>
      <c r="AO117" s="584"/>
      <c r="BC117" s="494"/>
      <c r="BD117" s="114"/>
      <c r="BE117" s="114"/>
      <c r="BF117" s="114"/>
      <c r="BG117" s="114"/>
      <c r="BH117" s="114"/>
      <c r="BI117" s="114"/>
      <c r="BJ117" s="114"/>
      <c r="BK117" s="114"/>
      <c r="BL117" s="114"/>
      <c r="BM117" s="114"/>
      <c r="CP117" s="5"/>
      <c r="CQ117"/>
      <c r="CR117"/>
      <c r="CS117"/>
      <c r="CT117"/>
      <c r="CU117"/>
      <c r="CV117"/>
      <c r="CW117"/>
      <c r="CX117"/>
      <c r="CY117"/>
      <c r="DG117" s="1"/>
      <c r="DH117" s="1"/>
      <c r="DI117" s="1"/>
      <c r="DJ117" s="1"/>
      <c r="DK117" s="1"/>
      <c r="DL117" s="1"/>
      <c r="DM117" s="1"/>
      <c r="DN117" s="1"/>
      <c r="DO117" s="1"/>
      <c r="DP117" s="1"/>
    </row>
    <row r="118" spans="1:120" ht="15" customHeight="1">
      <c r="A118" s="317"/>
      <c r="B118" s="1137">
        <v>1</v>
      </c>
      <c r="C118" s="1148" t="s">
        <v>541</v>
      </c>
      <c r="D118" s="1149"/>
      <c r="E118" s="1149"/>
      <c r="F118" s="1149"/>
      <c r="G118" s="1128" t="str">
        <f>計算用資料!M95&amp;計算用資料!M96</f>
        <v/>
      </c>
      <c r="H118" s="1129"/>
      <c r="I118" s="1129"/>
      <c r="J118" s="1129"/>
      <c r="K118" s="1129"/>
      <c r="L118" s="1129"/>
      <c r="M118" s="1129"/>
      <c r="N118" s="1129"/>
      <c r="O118" s="1129"/>
      <c r="P118" s="1129"/>
      <c r="Q118" s="1129"/>
      <c r="R118" s="1129"/>
      <c r="S118" s="1129"/>
      <c r="T118" s="1130"/>
      <c r="U118" s="1148" t="s">
        <v>101</v>
      </c>
      <c r="V118" s="1149"/>
      <c r="W118" s="1150"/>
      <c r="X118" s="1164" t="str">
        <f>計算用資料!R95&amp;計算用資料!R96</f>
        <v/>
      </c>
      <c r="Y118" s="1165"/>
      <c r="Z118" s="1165"/>
      <c r="AA118" s="1165"/>
      <c r="AB118" s="1165"/>
      <c r="AC118" s="1165"/>
      <c r="AD118" s="1165"/>
      <c r="AE118" s="1165"/>
      <c r="AF118" s="1165"/>
      <c r="AG118" s="1165"/>
      <c r="AH118" s="1165"/>
      <c r="AI118" s="1165"/>
      <c r="AJ118" s="1165"/>
      <c r="AK118" s="1165"/>
      <c r="AL118" s="1165"/>
      <c r="AM118" s="1165"/>
      <c r="AN118" s="1165"/>
      <c r="AO118" s="1165"/>
      <c r="AP118" s="1165"/>
      <c r="AQ118" s="1165"/>
      <c r="AR118" s="1165"/>
      <c r="AS118" s="1165"/>
      <c r="AT118" s="1165"/>
      <c r="AU118" s="1165"/>
      <c r="AV118" s="1165"/>
      <c r="AW118" s="1165"/>
      <c r="AX118" s="1165"/>
      <c r="AY118" s="1165"/>
      <c r="AZ118" s="1165"/>
      <c r="BA118" s="1165"/>
      <c r="BB118" s="1166"/>
      <c r="BC118" s="434"/>
      <c r="BD118" s="118"/>
      <c r="BE118" s="118"/>
      <c r="BF118" s="118"/>
      <c r="BG118" s="118"/>
      <c r="BH118" s="118"/>
      <c r="BI118" s="118"/>
      <c r="BJ118" s="142"/>
      <c r="BK118" s="153"/>
      <c r="BL118" s="153"/>
      <c r="BM118" s="153"/>
      <c r="BN118" s="153"/>
      <c r="BO118" s="153"/>
      <c r="BP118" s="153"/>
      <c r="BQ118" s="153"/>
      <c r="BR118" s="153"/>
      <c r="BS118" s="153"/>
      <c r="BT118" s="153"/>
      <c r="BU118" s="153"/>
      <c r="BV118" s="142"/>
      <c r="BW118" s="153"/>
      <c r="BX118" s="153"/>
      <c r="BY118" s="153"/>
      <c r="BZ118" s="153"/>
      <c r="CA118" s="153"/>
      <c r="CB118" s="153"/>
      <c r="CC118" s="153"/>
      <c r="CD118" s="153"/>
      <c r="CE118" s="153"/>
      <c r="CF118" s="142"/>
      <c r="CG118" s="142"/>
      <c r="CH118" s="143"/>
      <c r="CI118" s="109"/>
      <c r="CJ118" s="109"/>
      <c r="CK118" s="109"/>
      <c r="CL118" s="109"/>
      <c r="CM118" s="109"/>
      <c r="CN118" s="109"/>
      <c r="CO118" s="109"/>
      <c r="CP118" s="109"/>
      <c r="CQ118" s="109"/>
      <c r="DG118" s="1"/>
      <c r="DH118" s="1"/>
      <c r="DI118" s="1"/>
      <c r="DJ118" s="1"/>
      <c r="DK118" s="1"/>
      <c r="DL118" s="1"/>
      <c r="DM118" s="1"/>
      <c r="DN118" s="1"/>
      <c r="DO118" s="1"/>
      <c r="DP118" s="1"/>
    </row>
    <row r="119" spans="1:120" ht="15" customHeight="1">
      <c r="A119" s="317"/>
      <c r="B119" s="1138"/>
      <c r="C119" s="1151" t="s">
        <v>4</v>
      </c>
      <c r="D119" s="1152"/>
      <c r="E119" s="1152"/>
      <c r="F119" s="1152"/>
      <c r="G119" s="1131" t="str">
        <f>計算用資料!N95&amp;計算用資料!N96</f>
        <v/>
      </c>
      <c r="H119" s="1132"/>
      <c r="I119" s="1132"/>
      <c r="J119" s="1132"/>
      <c r="K119" s="1132"/>
      <c r="L119" s="1132"/>
      <c r="M119" s="1132"/>
      <c r="N119" s="1132"/>
      <c r="O119" s="1132"/>
      <c r="P119" s="1132"/>
      <c r="Q119" s="1132"/>
      <c r="R119" s="1132"/>
      <c r="S119" s="1132"/>
      <c r="T119" s="1133"/>
      <c r="U119" s="1151"/>
      <c r="V119" s="1152"/>
      <c r="W119" s="1153"/>
      <c r="X119" s="1167"/>
      <c r="Y119" s="1168"/>
      <c r="Z119" s="1168"/>
      <c r="AA119" s="1168"/>
      <c r="AB119" s="1168"/>
      <c r="AC119" s="1168"/>
      <c r="AD119" s="1168"/>
      <c r="AE119" s="1168"/>
      <c r="AF119" s="1168"/>
      <c r="AG119" s="1168"/>
      <c r="AH119" s="1168"/>
      <c r="AI119" s="1168"/>
      <c r="AJ119" s="1168"/>
      <c r="AK119" s="1168"/>
      <c r="AL119" s="1168"/>
      <c r="AM119" s="1168"/>
      <c r="AN119" s="1168"/>
      <c r="AO119" s="1168"/>
      <c r="AP119" s="1168"/>
      <c r="AQ119" s="1168"/>
      <c r="AR119" s="1168"/>
      <c r="AS119" s="1168"/>
      <c r="AT119" s="1168"/>
      <c r="AU119" s="1168"/>
      <c r="AV119" s="1168"/>
      <c r="AW119" s="1168"/>
      <c r="AX119" s="1168"/>
      <c r="AY119" s="1168"/>
      <c r="AZ119" s="1168"/>
      <c r="BA119" s="1168"/>
      <c r="BB119" s="1169"/>
      <c r="BC119" s="431"/>
      <c r="BD119" s="119"/>
      <c r="BE119" s="119"/>
      <c r="BF119" s="119"/>
      <c r="BG119" s="119"/>
      <c r="BH119" s="119"/>
      <c r="BI119" s="119"/>
      <c r="BJ119" s="142"/>
      <c r="BK119" s="153"/>
      <c r="BL119" s="153"/>
      <c r="BM119" s="153"/>
      <c r="BN119" s="153"/>
      <c r="BO119" s="153"/>
      <c r="BP119" s="153"/>
      <c r="BQ119" s="153"/>
      <c r="BR119" s="153"/>
      <c r="BS119" s="142"/>
      <c r="BT119" s="154"/>
      <c r="BU119" s="154"/>
      <c r="BV119" s="142"/>
      <c r="BW119" s="153"/>
      <c r="BX119" s="153"/>
      <c r="BY119" s="153"/>
      <c r="BZ119" s="153"/>
      <c r="CA119" s="153"/>
      <c r="CB119" s="153"/>
      <c r="CC119" s="153"/>
      <c r="CD119" s="142"/>
      <c r="CE119" s="154"/>
      <c r="CF119" s="142"/>
      <c r="CG119" s="142"/>
      <c r="CH119" s="155"/>
      <c r="CI119" s="109"/>
      <c r="CJ119" s="109"/>
      <c r="CK119" s="109"/>
      <c r="CL119" s="109"/>
      <c r="CM119" s="109"/>
      <c r="CN119" s="109"/>
      <c r="CO119" s="109"/>
      <c r="CP119" s="109"/>
      <c r="CQ119" s="109"/>
      <c r="DG119" s="1"/>
      <c r="DH119" s="1"/>
      <c r="DI119" s="1"/>
      <c r="DJ119" s="1"/>
      <c r="DK119" s="1"/>
      <c r="DL119" s="1"/>
      <c r="DM119" s="1"/>
      <c r="DN119" s="1"/>
      <c r="DO119" s="1"/>
      <c r="DP119" s="1"/>
    </row>
    <row r="120" spans="1:120" ht="15" customHeight="1">
      <c r="A120" s="317"/>
      <c r="B120" s="1139"/>
      <c r="C120" s="1146" t="s">
        <v>172</v>
      </c>
      <c r="D120" s="1147"/>
      <c r="E120" s="1147"/>
      <c r="F120" s="1147"/>
      <c r="G120" s="1125" t="str">
        <f>計算用資料!O95&amp;計算用資料!O96</f>
        <v/>
      </c>
      <c r="H120" s="1126"/>
      <c r="I120" s="1126"/>
      <c r="J120" s="1126"/>
      <c r="K120" s="1126"/>
      <c r="L120" s="1126"/>
      <c r="M120" s="1126"/>
      <c r="N120" s="1126"/>
      <c r="O120" s="1126"/>
      <c r="P120" s="1126"/>
      <c r="Q120" s="1126"/>
      <c r="R120" s="1126"/>
      <c r="S120" s="1126"/>
      <c r="T120" s="1127"/>
      <c r="U120" s="1174" t="s">
        <v>1516</v>
      </c>
      <c r="V120" s="1175"/>
      <c r="W120" s="1176"/>
      <c r="X120" s="1020" t="str">
        <f>IF(計算用資料!S95&lt;&gt;"",計算用資料!U95,計算用資料!U96)</f>
        <v>□配偶者□30歳未満又は70歳以上□留学□障害者□38万円以上の支払</v>
      </c>
      <c r="Y120" s="1021"/>
      <c r="Z120" s="1021"/>
      <c r="AA120" s="1021"/>
      <c r="AB120" s="1021"/>
      <c r="AC120" s="1021"/>
      <c r="AD120" s="1021"/>
      <c r="AE120" s="1021"/>
      <c r="AF120" s="1021"/>
      <c r="AG120" s="1021"/>
      <c r="AH120" s="1021"/>
      <c r="AI120" s="1021"/>
      <c r="AJ120" s="1021"/>
      <c r="AK120" s="1021"/>
      <c r="AL120" s="1021"/>
      <c r="AM120" s="1021"/>
      <c r="AN120" s="1021"/>
      <c r="AO120" s="1021"/>
      <c r="AP120" s="1021"/>
      <c r="AQ120" s="1021"/>
      <c r="AR120" s="1021"/>
      <c r="AS120" s="1021"/>
      <c r="AT120" s="1021"/>
      <c r="AU120" s="1021"/>
      <c r="AV120" s="1021"/>
      <c r="AW120" s="1021"/>
      <c r="AX120" s="1021"/>
      <c r="AY120" s="1021"/>
      <c r="AZ120" s="1021"/>
      <c r="BA120" s="1021"/>
      <c r="BB120" s="1022"/>
      <c r="BC120" s="431"/>
      <c r="BD120" s="119"/>
      <c r="BE120" s="119"/>
      <c r="BF120" s="119"/>
      <c r="BG120" s="119"/>
      <c r="BH120" s="119"/>
      <c r="BI120" s="119"/>
      <c r="BJ120" s="142"/>
      <c r="BK120" s="153"/>
      <c r="BL120" s="153"/>
      <c r="BM120" s="153"/>
      <c r="BN120" s="153"/>
      <c r="BO120" s="153"/>
      <c r="BP120" s="153"/>
      <c r="BQ120" s="153"/>
      <c r="BR120" s="153"/>
      <c r="BS120" s="156"/>
      <c r="BT120" s="153"/>
      <c r="BU120" s="153"/>
      <c r="BV120" s="142"/>
      <c r="BW120" s="153"/>
      <c r="BX120" s="153"/>
      <c r="BY120" s="153"/>
      <c r="BZ120" s="153"/>
      <c r="CA120" s="153"/>
      <c r="CB120" s="153"/>
      <c r="CC120" s="153"/>
      <c r="CD120" s="156"/>
      <c r="CE120" s="153"/>
      <c r="CF120" s="142"/>
      <c r="CG120" s="142"/>
      <c r="CH120" s="155"/>
      <c r="CI120" s="109"/>
      <c r="CJ120" s="109"/>
      <c r="CK120" s="109"/>
      <c r="CL120" s="109"/>
      <c r="CM120" s="109"/>
      <c r="CN120" s="109"/>
      <c r="CO120" s="109"/>
      <c r="CP120" s="109"/>
      <c r="CQ120" s="109"/>
      <c r="DG120" s="1"/>
      <c r="DH120" s="1"/>
      <c r="DI120" s="1"/>
      <c r="DJ120" s="1"/>
      <c r="DK120" s="1"/>
      <c r="DL120" s="1"/>
      <c r="DM120" s="1"/>
      <c r="DN120" s="1"/>
      <c r="DO120" s="1"/>
      <c r="DP120" s="1"/>
    </row>
    <row r="121" spans="1:120" ht="15" customHeight="1">
      <c r="A121" s="317"/>
      <c r="B121" s="1137">
        <v>2</v>
      </c>
      <c r="C121" s="1148" t="s">
        <v>170</v>
      </c>
      <c r="D121" s="1149"/>
      <c r="E121" s="1149"/>
      <c r="F121" s="1149"/>
      <c r="G121" s="1128" t="str">
        <f>計算用資料!M97</f>
        <v/>
      </c>
      <c r="H121" s="1129"/>
      <c r="I121" s="1129"/>
      <c r="J121" s="1129"/>
      <c r="K121" s="1129"/>
      <c r="L121" s="1129"/>
      <c r="M121" s="1129"/>
      <c r="N121" s="1129"/>
      <c r="O121" s="1129"/>
      <c r="P121" s="1129"/>
      <c r="Q121" s="1129"/>
      <c r="R121" s="1129"/>
      <c r="S121" s="1129"/>
      <c r="T121" s="1130"/>
      <c r="U121" s="1148" t="s">
        <v>101</v>
      </c>
      <c r="V121" s="1149"/>
      <c r="W121" s="1150"/>
      <c r="X121" s="1164" t="str">
        <f>計算用資料!R97</f>
        <v/>
      </c>
      <c r="Y121" s="1165"/>
      <c r="Z121" s="1165"/>
      <c r="AA121" s="1165"/>
      <c r="AB121" s="1165"/>
      <c r="AC121" s="1165"/>
      <c r="AD121" s="1165"/>
      <c r="AE121" s="1165"/>
      <c r="AF121" s="1165"/>
      <c r="AG121" s="1165"/>
      <c r="AH121" s="1165"/>
      <c r="AI121" s="1165"/>
      <c r="AJ121" s="1165"/>
      <c r="AK121" s="1165"/>
      <c r="AL121" s="1165"/>
      <c r="AM121" s="1165"/>
      <c r="AN121" s="1165"/>
      <c r="AO121" s="1165"/>
      <c r="AP121" s="1165"/>
      <c r="AQ121" s="1165"/>
      <c r="AR121" s="1165"/>
      <c r="AS121" s="1165"/>
      <c r="AT121" s="1165"/>
      <c r="AU121" s="1165"/>
      <c r="AV121" s="1165"/>
      <c r="AW121" s="1165"/>
      <c r="AX121" s="1165"/>
      <c r="AY121" s="1165"/>
      <c r="AZ121" s="1165"/>
      <c r="BA121" s="1165"/>
      <c r="BB121" s="1166"/>
      <c r="BC121" s="431"/>
      <c r="BD121" s="119"/>
      <c r="BE121" s="119"/>
      <c r="BF121" s="119"/>
      <c r="BG121" s="119"/>
      <c r="BH121" s="119"/>
      <c r="BI121" s="119"/>
      <c r="BJ121" s="142"/>
      <c r="BK121" s="153"/>
      <c r="BL121" s="153"/>
      <c r="BM121" s="153"/>
      <c r="BN121" s="153"/>
      <c r="BO121" s="153"/>
      <c r="BP121" s="153"/>
      <c r="BQ121" s="153"/>
      <c r="BR121" s="153"/>
      <c r="BS121" s="156"/>
      <c r="BT121" s="153"/>
      <c r="BU121" s="153"/>
      <c r="BV121" s="142"/>
      <c r="BW121" s="153"/>
      <c r="BX121" s="153"/>
      <c r="BY121" s="153"/>
      <c r="BZ121" s="153"/>
      <c r="CA121" s="153"/>
      <c r="CB121" s="153"/>
      <c r="CC121" s="153"/>
      <c r="CD121" s="156"/>
      <c r="CE121" s="153"/>
      <c r="CF121" s="142"/>
      <c r="CG121" s="142"/>
      <c r="CH121" s="155"/>
      <c r="CI121" s="109"/>
      <c r="CJ121" s="109"/>
      <c r="CK121" s="109"/>
      <c r="CL121" s="109"/>
      <c r="CM121" s="109"/>
      <c r="CN121" s="109"/>
      <c r="CO121" s="109"/>
      <c r="CP121" s="109"/>
      <c r="CQ121" s="109"/>
      <c r="DG121" s="1"/>
      <c r="DH121" s="1"/>
      <c r="DI121" s="1"/>
      <c r="DJ121" s="1"/>
      <c r="DK121" s="1"/>
      <c r="DL121" s="1"/>
      <c r="DM121" s="1"/>
      <c r="DN121" s="1"/>
      <c r="DO121" s="1"/>
      <c r="DP121" s="1"/>
    </row>
    <row r="122" spans="1:120" ht="15" customHeight="1">
      <c r="A122" s="317"/>
      <c r="B122" s="1138"/>
      <c r="C122" s="1151" t="s">
        <v>4</v>
      </c>
      <c r="D122" s="1152"/>
      <c r="E122" s="1152"/>
      <c r="F122" s="1152"/>
      <c r="G122" s="1131" t="str">
        <f>計算用資料!N97</f>
        <v/>
      </c>
      <c r="H122" s="1132"/>
      <c r="I122" s="1132"/>
      <c r="J122" s="1132"/>
      <c r="K122" s="1132"/>
      <c r="L122" s="1132"/>
      <c r="M122" s="1132"/>
      <c r="N122" s="1132"/>
      <c r="O122" s="1132"/>
      <c r="P122" s="1132"/>
      <c r="Q122" s="1132"/>
      <c r="R122" s="1132"/>
      <c r="S122" s="1132"/>
      <c r="T122" s="1133"/>
      <c r="U122" s="1151"/>
      <c r="V122" s="1152"/>
      <c r="W122" s="1153"/>
      <c r="X122" s="1167"/>
      <c r="Y122" s="1168"/>
      <c r="Z122" s="1168"/>
      <c r="AA122" s="1168"/>
      <c r="AB122" s="1168"/>
      <c r="AC122" s="1168"/>
      <c r="AD122" s="1168"/>
      <c r="AE122" s="1168"/>
      <c r="AF122" s="1168"/>
      <c r="AG122" s="1168"/>
      <c r="AH122" s="1168"/>
      <c r="AI122" s="1168"/>
      <c r="AJ122" s="1168"/>
      <c r="AK122" s="1168"/>
      <c r="AL122" s="1168"/>
      <c r="AM122" s="1168"/>
      <c r="AN122" s="1168"/>
      <c r="AO122" s="1168"/>
      <c r="AP122" s="1168"/>
      <c r="AQ122" s="1168"/>
      <c r="AR122" s="1168"/>
      <c r="AS122" s="1168"/>
      <c r="AT122" s="1168"/>
      <c r="AU122" s="1168"/>
      <c r="AV122" s="1168"/>
      <c r="AW122" s="1168"/>
      <c r="AX122" s="1168"/>
      <c r="AY122" s="1168"/>
      <c r="AZ122" s="1168"/>
      <c r="BA122" s="1168"/>
      <c r="BB122" s="1169"/>
      <c r="BC122" s="431"/>
      <c r="BD122" s="119"/>
      <c r="BE122" s="119"/>
      <c r="BF122" s="119"/>
      <c r="BG122" s="119"/>
      <c r="BH122" s="119"/>
      <c r="BI122" s="119"/>
      <c r="BJ122" s="142"/>
      <c r="BK122" s="153"/>
      <c r="BL122" s="153"/>
      <c r="BM122" s="153"/>
      <c r="BN122" s="153"/>
      <c r="BO122" s="153"/>
      <c r="BP122" s="153"/>
      <c r="BQ122" s="153"/>
      <c r="BR122" s="153"/>
      <c r="BS122" s="156"/>
      <c r="BT122" s="153"/>
      <c r="BU122" s="153"/>
      <c r="BV122" s="142"/>
      <c r="BW122" s="153"/>
      <c r="BX122" s="153"/>
      <c r="BY122" s="153"/>
      <c r="BZ122" s="153"/>
      <c r="CA122" s="153"/>
      <c r="CB122" s="153"/>
      <c r="CC122" s="153"/>
      <c r="CD122" s="156"/>
      <c r="CE122" s="153"/>
      <c r="CF122" s="142"/>
      <c r="CG122" s="142"/>
      <c r="CH122" s="155"/>
      <c r="CI122" s="109"/>
      <c r="CJ122" s="109"/>
      <c r="CK122" s="109"/>
      <c r="CL122" s="109"/>
      <c r="CM122" s="109"/>
      <c r="CN122" s="109"/>
      <c r="CO122" s="109"/>
      <c r="CP122" s="109"/>
      <c r="CQ122" s="109"/>
      <c r="DG122" s="1"/>
      <c r="DH122" s="1"/>
      <c r="DI122" s="1"/>
      <c r="DJ122" s="1"/>
      <c r="DK122" s="1"/>
      <c r="DL122" s="1"/>
      <c r="DM122" s="1"/>
      <c r="DN122" s="1"/>
      <c r="DO122" s="1"/>
      <c r="DP122" s="1"/>
    </row>
    <row r="123" spans="1:120" ht="15" customHeight="1">
      <c r="A123" s="317"/>
      <c r="B123" s="1139"/>
      <c r="C123" s="1146" t="s">
        <v>171</v>
      </c>
      <c r="D123" s="1147"/>
      <c r="E123" s="1147"/>
      <c r="F123" s="1147"/>
      <c r="G123" s="1134" t="str">
        <f>計算用資料!O97</f>
        <v/>
      </c>
      <c r="H123" s="1135"/>
      <c r="I123" s="1135"/>
      <c r="J123" s="1135"/>
      <c r="K123" s="1135"/>
      <c r="L123" s="1135"/>
      <c r="M123" s="1135"/>
      <c r="N123" s="1135"/>
      <c r="O123" s="1135"/>
      <c r="P123" s="1135"/>
      <c r="Q123" s="1135"/>
      <c r="R123" s="1135"/>
      <c r="S123" s="1135"/>
      <c r="T123" s="1136"/>
      <c r="U123" s="1177" t="s">
        <v>1517</v>
      </c>
      <c r="V123" s="1178"/>
      <c r="W123" s="1179"/>
      <c r="X123" s="1020" t="str">
        <f>計算用資料!U97</f>
        <v>□配偶者□30歳未満又は70歳以上□留学□障害者□38万円以上の支払</v>
      </c>
      <c r="Y123" s="1021"/>
      <c r="Z123" s="1021"/>
      <c r="AA123" s="1021"/>
      <c r="AB123" s="1021"/>
      <c r="AC123" s="1021"/>
      <c r="AD123" s="1021"/>
      <c r="AE123" s="1021"/>
      <c r="AF123" s="1021"/>
      <c r="AG123" s="1021"/>
      <c r="AH123" s="1021"/>
      <c r="AI123" s="1021"/>
      <c r="AJ123" s="1021"/>
      <c r="AK123" s="1021"/>
      <c r="AL123" s="1021"/>
      <c r="AM123" s="1021"/>
      <c r="AN123" s="1021"/>
      <c r="AO123" s="1021"/>
      <c r="AP123" s="1021"/>
      <c r="AQ123" s="1021"/>
      <c r="AR123" s="1021"/>
      <c r="AS123" s="1021"/>
      <c r="AT123" s="1021"/>
      <c r="AU123" s="1021"/>
      <c r="AV123" s="1021"/>
      <c r="AW123" s="1021"/>
      <c r="AX123" s="1021"/>
      <c r="AY123" s="1021"/>
      <c r="AZ123" s="1021"/>
      <c r="BA123" s="1021"/>
      <c r="BB123" s="1022"/>
      <c r="BC123" s="584"/>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57"/>
      <c r="BZ123" s="158"/>
      <c r="CA123" s="158"/>
      <c r="CB123" s="158"/>
      <c r="CC123" s="158"/>
      <c r="CD123" s="158"/>
      <c r="CE123" s="158"/>
      <c r="CF123" s="158"/>
      <c r="CG123" s="157"/>
      <c r="CH123" s="158"/>
      <c r="CK123" s="6"/>
      <c r="CL123" s="109"/>
      <c r="CM123" s="109"/>
      <c r="CN123" s="109"/>
      <c r="CO123" s="109"/>
      <c r="CP123" s="109"/>
      <c r="CQ123" s="109"/>
      <c r="CR123" s="109"/>
      <c r="CS123" s="109"/>
      <c r="CT123" s="109"/>
      <c r="DG123" s="1"/>
      <c r="DH123" s="1"/>
      <c r="DI123" s="1"/>
      <c r="DJ123" s="1"/>
      <c r="DK123" s="1"/>
      <c r="DL123" s="1"/>
      <c r="DM123" s="1"/>
      <c r="DN123" s="1"/>
      <c r="DO123" s="1"/>
      <c r="DP123" s="1"/>
    </row>
    <row r="124" spans="1:120" ht="15" customHeight="1">
      <c r="A124" s="317"/>
      <c r="B124" s="1137">
        <v>3</v>
      </c>
      <c r="C124" s="1148" t="s">
        <v>170</v>
      </c>
      <c r="D124" s="1149"/>
      <c r="E124" s="1149"/>
      <c r="F124" s="1149"/>
      <c r="G124" s="1167" t="str">
        <f>計算用資料!M98</f>
        <v/>
      </c>
      <c r="H124" s="1168"/>
      <c r="I124" s="1168"/>
      <c r="J124" s="1168"/>
      <c r="K124" s="1168"/>
      <c r="L124" s="1168"/>
      <c r="M124" s="1168"/>
      <c r="N124" s="1168"/>
      <c r="O124" s="1168"/>
      <c r="P124" s="1168"/>
      <c r="Q124" s="1168"/>
      <c r="R124" s="1168"/>
      <c r="S124" s="1168"/>
      <c r="T124" s="1169"/>
      <c r="U124" s="1148" t="s">
        <v>101</v>
      </c>
      <c r="V124" s="1149"/>
      <c r="W124" s="1150"/>
      <c r="X124" s="1164" t="str">
        <f>計算用資料!R98</f>
        <v/>
      </c>
      <c r="Y124" s="1165"/>
      <c r="Z124" s="1165"/>
      <c r="AA124" s="1165"/>
      <c r="AB124" s="1165"/>
      <c r="AC124" s="1165"/>
      <c r="AD124" s="1165"/>
      <c r="AE124" s="1165"/>
      <c r="AF124" s="1165"/>
      <c r="AG124" s="1165"/>
      <c r="AH124" s="1165"/>
      <c r="AI124" s="1165"/>
      <c r="AJ124" s="1165"/>
      <c r="AK124" s="1165"/>
      <c r="AL124" s="1165"/>
      <c r="AM124" s="1165"/>
      <c r="AN124" s="1165"/>
      <c r="AO124" s="1165"/>
      <c r="AP124" s="1165"/>
      <c r="AQ124" s="1165"/>
      <c r="AR124" s="1165"/>
      <c r="AS124" s="1165"/>
      <c r="AT124" s="1165"/>
      <c r="AU124" s="1165"/>
      <c r="AV124" s="1165"/>
      <c r="AW124" s="1165"/>
      <c r="AX124" s="1165"/>
      <c r="AY124" s="1165"/>
      <c r="AZ124" s="1165"/>
      <c r="BA124" s="1165"/>
      <c r="BB124" s="1166"/>
      <c r="BC124" s="552"/>
      <c r="BD124" s="23"/>
      <c r="BE124" s="23"/>
      <c r="BF124" s="23"/>
      <c r="BG124" s="23"/>
      <c r="BH124" s="23"/>
      <c r="BI124" s="23"/>
      <c r="BJ124" s="23"/>
      <c r="BK124" s="23"/>
      <c r="BL124" s="23"/>
      <c r="BM124" s="23"/>
      <c r="BN124" s="23"/>
      <c r="BO124" s="23"/>
      <c r="BP124" s="23"/>
      <c r="BQ124" s="23"/>
      <c r="BR124" s="23"/>
      <c r="BS124" s="23"/>
      <c r="BT124" s="23"/>
      <c r="BU124" s="23"/>
      <c r="BV124" s="23"/>
      <c r="CK124" s="6"/>
      <c r="CL124"/>
      <c r="CM124"/>
      <c r="CN124"/>
      <c r="CO124"/>
      <c r="CP124"/>
      <c r="CQ124"/>
      <c r="CR124"/>
      <c r="CS124"/>
      <c r="CT124"/>
      <c r="DG124" s="1"/>
      <c r="DH124" s="1"/>
      <c r="DI124" s="1"/>
      <c r="DJ124" s="1"/>
      <c r="DK124" s="1"/>
      <c r="DL124" s="1"/>
      <c r="DM124" s="1"/>
      <c r="DN124" s="1"/>
      <c r="DO124" s="1"/>
      <c r="DP124" s="1"/>
    </row>
    <row r="125" spans="1:120" ht="15" customHeight="1">
      <c r="A125" s="317"/>
      <c r="B125" s="1138"/>
      <c r="C125" s="1151" t="s">
        <v>4</v>
      </c>
      <c r="D125" s="1152"/>
      <c r="E125" s="1152"/>
      <c r="F125" s="1152"/>
      <c r="G125" s="1131" t="str">
        <f>計算用資料!N98</f>
        <v/>
      </c>
      <c r="H125" s="1132"/>
      <c r="I125" s="1132"/>
      <c r="J125" s="1132"/>
      <c r="K125" s="1132"/>
      <c r="L125" s="1132"/>
      <c r="M125" s="1132"/>
      <c r="N125" s="1132"/>
      <c r="O125" s="1132"/>
      <c r="P125" s="1132"/>
      <c r="Q125" s="1132"/>
      <c r="R125" s="1132"/>
      <c r="S125" s="1132"/>
      <c r="T125" s="1133"/>
      <c r="U125" s="1151"/>
      <c r="V125" s="1152"/>
      <c r="W125" s="1153"/>
      <c r="X125" s="1167"/>
      <c r="Y125" s="1168"/>
      <c r="Z125" s="1168"/>
      <c r="AA125" s="1168"/>
      <c r="AB125" s="1168"/>
      <c r="AC125" s="1168"/>
      <c r="AD125" s="1168"/>
      <c r="AE125" s="1168"/>
      <c r="AF125" s="1168"/>
      <c r="AG125" s="1168"/>
      <c r="AH125" s="1168"/>
      <c r="AI125" s="1168"/>
      <c r="AJ125" s="1168"/>
      <c r="AK125" s="1168"/>
      <c r="AL125" s="1168"/>
      <c r="AM125" s="1168"/>
      <c r="AN125" s="1168"/>
      <c r="AO125" s="1168"/>
      <c r="AP125" s="1168"/>
      <c r="AQ125" s="1168"/>
      <c r="AR125" s="1168"/>
      <c r="AS125" s="1168"/>
      <c r="AT125" s="1168"/>
      <c r="AU125" s="1168"/>
      <c r="AV125" s="1168"/>
      <c r="AW125" s="1168"/>
      <c r="AX125" s="1168"/>
      <c r="AY125" s="1168"/>
      <c r="AZ125" s="1168"/>
      <c r="BA125" s="1168"/>
      <c r="BB125" s="1169"/>
      <c r="BC125" s="585"/>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K125" s="6"/>
      <c r="CL125"/>
      <c r="CM125"/>
      <c r="CN125"/>
      <c r="CO125"/>
      <c r="CP125"/>
      <c r="CQ125"/>
      <c r="CR125"/>
      <c r="CS125"/>
      <c r="CT125"/>
      <c r="DG125" s="1"/>
      <c r="DH125" s="1"/>
      <c r="DI125" s="1"/>
      <c r="DJ125" s="1"/>
      <c r="DK125" s="1"/>
      <c r="DL125" s="1"/>
      <c r="DM125" s="1"/>
      <c r="DN125" s="1"/>
      <c r="DO125" s="1"/>
      <c r="DP125" s="1"/>
    </row>
    <row r="126" spans="1:120" ht="15" customHeight="1">
      <c r="A126" s="317"/>
      <c r="B126" s="1139"/>
      <c r="C126" s="1146" t="s">
        <v>171</v>
      </c>
      <c r="D126" s="1147"/>
      <c r="E126" s="1147"/>
      <c r="F126" s="1147"/>
      <c r="G126" s="1125" t="str">
        <f>計算用資料!O98</f>
        <v/>
      </c>
      <c r="H126" s="1126"/>
      <c r="I126" s="1126"/>
      <c r="J126" s="1126"/>
      <c r="K126" s="1126"/>
      <c r="L126" s="1126"/>
      <c r="M126" s="1126"/>
      <c r="N126" s="1126"/>
      <c r="O126" s="1126"/>
      <c r="P126" s="1126"/>
      <c r="Q126" s="1126"/>
      <c r="R126" s="1126"/>
      <c r="S126" s="1126"/>
      <c r="T126" s="1127"/>
      <c r="U126" s="1177" t="s">
        <v>1517</v>
      </c>
      <c r="V126" s="1178"/>
      <c r="W126" s="1179"/>
      <c r="X126" s="1020" t="str">
        <f>計算用資料!U98</f>
        <v>□配偶者□30歳未満又は70歳以上□留学□障害者□38万円以上の支払</v>
      </c>
      <c r="Y126" s="1021"/>
      <c r="Z126" s="1021"/>
      <c r="AA126" s="1021"/>
      <c r="AB126" s="1021"/>
      <c r="AC126" s="1021"/>
      <c r="AD126" s="1021"/>
      <c r="AE126" s="1021"/>
      <c r="AF126" s="1021"/>
      <c r="AG126" s="1021"/>
      <c r="AH126" s="1021"/>
      <c r="AI126" s="1021"/>
      <c r="AJ126" s="1021"/>
      <c r="AK126" s="1021"/>
      <c r="AL126" s="1021"/>
      <c r="AM126" s="1021"/>
      <c r="AN126" s="1021"/>
      <c r="AO126" s="1021"/>
      <c r="AP126" s="1021"/>
      <c r="AQ126" s="1021"/>
      <c r="AR126" s="1021"/>
      <c r="AS126" s="1021"/>
      <c r="AT126" s="1021"/>
      <c r="AU126" s="1021"/>
      <c r="AV126" s="1021"/>
      <c r="AW126" s="1021"/>
      <c r="AX126" s="1021"/>
      <c r="AY126" s="1021"/>
      <c r="AZ126" s="1021"/>
      <c r="BA126" s="1021"/>
      <c r="BB126" s="1022"/>
      <c r="BC126" s="585"/>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K126" s="5"/>
      <c r="CL126"/>
      <c r="CM126"/>
      <c r="CN126"/>
      <c r="CO126"/>
      <c r="CP126"/>
      <c r="CQ126"/>
      <c r="CR126"/>
      <c r="CS126"/>
      <c r="CT126"/>
      <c r="DG126" s="1"/>
      <c r="DH126" s="1"/>
      <c r="DI126" s="1"/>
      <c r="DJ126" s="1"/>
      <c r="DK126" s="1"/>
      <c r="DL126" s="1"/>
      <c r="DM126" s="1"/>
      <c r="DN126" s="1"/>
      <c r="DO126" s="1"/>
      <c r="DP126" s="1"/>
    </row>
    <row r="127" spans="1:120" ht="15" customHeight="1">
      <c r="A127" s="317"/>
      <c r="B127" s="1137">
        <v>4</v>
      </c>
      <c r="C127" s="1148" t="s">
        <v>141</v>
      </c>
      <c r="D127" s="1149"/>
      <c r="E127" s="1149"/>
      <c r="F127" s="1149"/>
      <c r="G127" s="1128" t="str">
        <f>計算用資料!M99</f>
        <v/>
      </c>
      <c r="H127" s="1129"/>
      <c r="I127" s="1129"/>
      <c r="J127" s="1129"/>
      <c r="K127" s="1129"/>
      <c r="L127" s="1129"/>
      <c r="M127" s="1129"/>
      <c r="N127" s="1129"/>
      <c r="O127" s="1129"/>
      <c r="P127" s="1129"/>
      <c r="Q127" s="1129"/>
      <c r="R127" s="1129"/>
      <c r="S127" s="1129"/>
      <c r="T127" s="1130"/>
      <c r="U127" s="1148" t="s">
        <v>101</v>
      </c>
      <c r="V127" s="1149"/>
      <c r="W127" s="1150"/>
      <c r="X127" s="1164" t="str">
        <f>計算用資料!R99</f>
        <v/>
      </c>
      <c r="Y127" s="1165"/>
      <c r="Z127" s="1165"/>
      <c r="AA127" s="1165"/>
      <c r="AB127" s="1165"/>
      <c r="AC127" s="1165"/>
      <c r="AD127" s="1165"/>
      <c r="AE127" s="1165"/>
      <c r="AF127" s="1165"/>
      <c r="AG127" s="1165"/>
      <c r="AH127" s="1165"/>
      <c r="AI127" s="1165"/>
      <c r="AJ127" s="1165"/>
      <c r="AK127" s="1165"/>
      <c r="AL127" s="1165"/>
      <c r="AM127" s="1165"/>
      <c r="AN127" s="1165"/>
      <c r="AO127" s="1165"/>
      <c r="AP127" s="1165"/>
      <c r="AQ127" s="1165"/>
      <c r="AR127" s="1165"/>
      <c r="AS127" s="1165"/>
      <c r="AT127" s="1165"/>
      <c r="AU127" s="1165"/>
      <c r="AV127" s="1165"/>
      <c r="AW127" s="1165"/>
      <c r="AX127" s="1165"/>
      <c r="AY127" s="1165"/>
      <c r="AZ127" s="1165"/>
      <c r="BA127" s="1165"/>
      <c r="BB127" s="1166"/>
      <c r="BC127" s="585"/>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32"/>
      <c r="CK127" s="5"/>
      <c r="CL127"/>
      <c r="CM127"/>
      <c r="CN127"/>
      <c r="CO127"/>
      <c r="CP127"/>
      <c r="CQ127"/>
      <c r="CR127"/>
      <c r="CS127"/>
      <c r="CT127"/>
      <c r="DG127" s="1"/>
      <c r="DH127" s="1"/>
      <c r="DI127" s="1"/>
      <c r="DJ127" s="1"/>
      <c r="DK127" s="1"/>
      <c r="DL127" s="1"/>
      <c r="DM127" s="1"/>
      <c r="DN127" s="1"/>
      <c r="DO127" s="1"/>
      <c r="DP127" s="1"/>
    </row>
    <row r="128" spans="1:120" ht="15" customHeight="1">
      <c r="A128" s="317"/>
      <c r="B128" s="1138"/>
      <c r="C128" s="1151" t="s">
        <v>4</v>
      </c>
      <c r="D128" s="1152"/>
      <c r="E128" s="1152"/>
      <c r="F128" s="1152"/>
      <c r="G128" s="1131" t="str">
        <f>計算用資料!N99</f>
        <v/>
      </c>
      <c r="H128" s="1132"/>
      <c r="I128" s="1132"/>
      <c r="J128" s="1132"/>
      <c r="K128" s="1132"/>
      <c r="L128" s="1132"/>
      <c r="M128" s="1132"/>
      <c r="N128" s="1132"/>
      <c r="O128" s="1132"/>
      <c r="P128" s="1132"/>
      <c r="Q128" s="1132"/>
      <c r="R128" s="1132"/>
      <c r="S128" s="1132"/>
      <c r="T128" s="1133"/>
      <c r="U128" s="1151"/>
      <c r="V128" s="1152"/>
      <c r="W128" s="1153"/>
      <c r="X128" s="1167"/>
      <c r="Y128" s="1168"/>
      <c r="Z128" s="1168"/>
      <c r="AA128" s="1168"/>
      <c r="AB128" s="1168"/>
      <c r="AC128" s="1168"/>
      <c r="AD128" s="1168"/>
      <c r="AE128" s="1168"/>
      <c r="AF128" s="1168"/>
      <c r="AG128" s="1168"/>
      <c r="AH128" s="1168"/>
      <c r="AI128" s="1168"/>
      <c r="AJ128" s="1168"/>
      <c r="AK128" s="1168"/>
      <c r="AL128" s="1168"/>
      <c r="AM128" s="1168"/>
      <c r="AN128" s="1168"/>
      <c r="AO128" s="1168"/>
      <c r="AP128" s="1168"/>
      <c r="AQ128" s="1168"/>
      <c r="AR128" s="1168"/>
      <c r="AS128" s="1168"/>
      <c r="AT128" s="1168"/>
      <c r="AU128" s="1168"/>
      <c r="AV128" s="1168"/>
      <c r="AW128" s="1168"/>
      <c r="AX128" s="1168"/>
      <c r="AY128" s="1168"/>
      <c r="AZ128" s="1168"/>
      <c r="BA128" s="1168"/>
      <c r="BB128" s="1169"/>
      <c r="BC128" s="848"/>
      <c r="BD128" s="92"/>
      <c r="BE128" s="92"/>
      <c r="BF128" s="92"/>
      <c r="BG128" s="92"/>
      <c r="BH128" s="92"/>
      <c r="BI128" s="92"/>
      <c r="BJ128" s="92"/>
      <c r="BK128" s="142"/>
      <c r="BL128" s="110"/>
      <c r="BM128" s="110"/>
      <c r="BN128" s="110"/>
      <c r="BO128" s="110"/>
      <c r="BP128" s="110"/>
      <c r="BQ128" s="110"/>
      <c r="BR128" s="110"/>
      <c r="BS128" s="110"/>
      <c r="BT128" s="110"/>
      <c r="BU128" s="110"/>
      <c r="BV128" s="110"/>
      <c r="BW128" s="110"/>
      <c r="BX128" s="110"/>
      <c r="BY128" s="110"/>
      <c r="BZ128" s="110"/>
      <c r="CA128" s="110"/>
      <c r="CB128" s="110"/>
      <c r="CC128" s="110"/>
      <c r="CD128" s="110"/>
      <c r="CE128" s="110"/>
      <c r="CF128" s="110"/>
      <c r="CG128" s="142"/>
      <c r="CH128" s="120"/>
      <c r="CK128" s="5"/>
      <c r="CL128"/>
      <c r="CM128"/>
      <c r="CN128"/>
      <c r="CO128"/>
      <c r="CP128"/>
      <c r="CQ128"/>
      <c r="CR128"/>
      <c r="CS128"/>
      <c r="CT128"/>
      <c r="DG128" s="1"/>
      <c r="DH128" s="1"/>
      <c r="DI128" s="1"/>
      <c r="DJ128" s="1"/>
      <c r="DK128" s="1"/>
      <c r="DL128" s="1"/>
      <c r="DM128" s="1"/>
      <c r="DN128" s="1"/>
      <c r="DO128" s="1"/>
      <c r="DP128" s="1"/>
    </row>
    <row r="129" spans="1:120" ht="15" customHeight="1">
      <c r="A129" s="317"/>
      <c r="B129" s="1139"/>
      <c r="C129" s="1146" t="s">
        <v>171</v>
      </c>
      <c r="D129" s="1147"/>
      <c r="E129" s="1147"/>
      <c r="F129" s="1147"/>
      <c r="G129" s="1134" t="str">
        <f>計算用資料!O99</f>
        <v/>
      </c>
      <c r="H129" s="1135"/>
      <c r="I129" s="1135"/>
      <c r="J129" s="1135"/>
      <c r="K129" s="1135"/>
      <c r="L129" s="1135"/>
      <c r="M129" s="1135"/>
      <c r="N129" s="1135"/>
      <c r="O129" s="1135"/>
      <c r="P129" s="1135"/>
      <c r="Q129" s="1135"/>
      <c r="R129" s="1135"/>
      <c r="S129" s="1135"/>
      <c r="T129" s="1136"/>
      <c r="U129" s="1177" t="s">
        <v>1517</v>
      </c>
      <c r="V129" s="1178"/>
      <c r="W129" s="1179"/>
      <c r="X129" s="1020" t="str">
        <f>計算用資料!U99</f>
        <v>□配偶者□30歳未満又は70歳以上□留学□障害者□38万円以上の支払</v>
      </c>
      <c r="Y129" s="1021"/>
      <c r="Z129" s="1021"/>
      <c r="AA129" s="1021"/>
      <c r="AB129" s="1021"/>
      <c r="AC129" s="1021"/>
      <c r="AD129" s="1021"/>
      <c r="AE129" s="1021"/>
      <c r="AF129" s="1021"/>
      <c r="AG129" s="1021"/>
      <c r="AH129" s="1021"/>
      <c r="AI129" s="1021"/>
      <c r="AJ129" s="1021"/>
      <c r="AK129" s="1021"/>
      <c r="AL129" s="1021"/>
      <c r="AM129" s="1021"/>
      <c r="AN129" s="1021"/>
      <c r="AO129" s="1021"/>
      <c r="AP129" s="1021"/>
      <c r="AQ129" s="1021"/>
      <c r="AR129" s="1021"/>
      <c r="AS129" s="1021"/>
      <c r="AT129" s="1021"/>
      <c r="AU129" s="1021"/>
      <c r="AV129" s="1021"/>
      <c r="AW129" s="1021"/>
      <c r="AX129" s="1021"/>
      <c r="AY129" s="1021"/>
      <c r="AZ129" s="1021"/>
      <c r="BA129" s="1021"/>
      <c r="BB129" s="1022"/>
      <c r="BC129" s="848"/>
      <c r="BD129" s="92"/>
      <c r="BE129" s="92"/>
      <c r="BF129" s="92"/>
      <c r="BG129" s="92"/>
      <c r="BH129" s="92"/>
      <c r="BI129" s="92"/>
      <c r="BJ129" s="92"/>
      <c r="BK129" s="142"/>
      <c r="BL129" s="110"/>
      <c r="BM129" s="110"/>
      <c r="BN129" s="110"/>
      <c r="BO129" s="110"/>
      <c r="BP129" s="110"/>
      <c r="BQ129" s="110"/>
      <c r="BR129" s="110"/>
      <c r="BS129" s="110"/>
      <c r="BT129" s="110"/>
      <c r="BU129" s="110"/>
      <c r="BV129" s="110"/>
      <c r="BW129" s="110"/>
      <c r="BX129" s="110"/>
      <c r="BY129" s="110"/>
      <c r="BZ129" s="110"/>
      <c r="CA129" s="110"/>
      <c r="CB129" s="110"/>
      <c r="CC129" s="110"/>
      <c r="CD129" s="110"/>
      <c r="CE129" s="110"/>
      <c r="CF129" s="110"/>
      <c r="CG129" s="142"/>
      <c r="CH129" s="120"/>
      <c r="CK129" s="5"/>
      <c r="CL129"/>
      <c r="CM129"/>
      <c r="CN129"/>
      <c r="CO129"/>
      <c r="CP129"/>
      <c r="CQ129"/>
      <c r="CR129"/>
      <c r="CS129"/>
      <c r="CT129"/>
      <c r="DG129" s="1"/>
      <c r="DH129" s="1"/>
      <c r="DI129" s="1"/>
      <c r="DJ129" s="1"/>
      <c r="DK129" s="1"/>
      <c r="DL129" s="1"/>
      <c r="DM129" s="1"/>
      <c r="DN129" s="1"/>
      <c r="DO129" s="1"/>
      <c r="DP129" s="1"/>
    </row>
    <row r="130" spans="1:120" ht="15" customHeight="1">
      <c r="A130" s="317"/>
      <c r="B130" s="586"/>
      <c r="C130" s="586"/>
      <c r="D130" s="586"/>
      <c r="E130" s="587"/>
      <c r="F130" s="587"/>
      <c r="G130" s="587"/>
      <c r="H130" s="587"/>
      <c r="I130" s="587"/>
      <c r="J130" s="588"/>
      <c r="K130" s="588"/>
      <c r="L130" s="588"/>
      <c r="M130" s="588"/>
      <c r="N130" s="588"/>
      <c r="O130" s="588"/>
      <c r="P130" s="588"/>
      <c r="Q130" s="588"/>
      <c r="R130" s="588"/>
      <c r="S130" s="588"/>
      <c r="T130" s="588"/>
      <c r="U130" s="589"/>
      <c r="V130" s="589"/>
      <c r="W130" s="589"/>
      <c r="X130" s="589"/>
      <c r="Y130" s="589"/>
      <c r="Z130" s="590"/>
      <c r="AA130" s="590"/>
      <c r="AB130" s="590"/>
      <c r="AC130" s="590"/>
      <c r="AD130" s="590"/>
      <c r="AE130" s="590"/>
      <c r="AF130" s="590"/>
      <c r="AG130" s="590"/>
      <c r="AH130" s="591"/>
      <c r="AI130" s="591"/>
      <c r="AJ130" s="591"/>
      <c r="AK130" s="591"/>
      <c r="AL130" s="591"/>
      <c r="AM130" s="591"/>
      <c r="AN130" s="591"/>
      <c r="AO130" s="591"/>
      <c r="AP130" s="591"/>
      <c r="AQ130" s="591"/>
      <c r="AR130" s="591"/>
      <c r="AS130" s="591"/>
      <c r="AT130" s="591"/>
      <c r="AU130" s="591"/>
      <c r="AV130" s="591"/>
      <c r="AW130" s="591"/>
      <c r="AX130" s="591"/>
      <c r="AY130" s="591"/>
      <c r="AZ130" s="591"/>
      <c r="BA130" s="591"/>
      <c r="BB130" s="591"/>
      <c r="BC130" s="317"/>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1"/>
      <c r="CH130" s="91"/>
      <c r="CI130" s="91"/>
      <c r="CJ130" s="91"/>
      <c r="CK130" s="91"/>
      <c r="CL130" s="91"/>
      <c r="CM130" s="91"/>
      <c r="CN130" s="91"/>
      <c r="CO130" s="91"/>
      <c r="CP130" s="91"/>
      <c r="CQ130" s="91"/>
      <c r="CR130" s="91"/>
      <c r="CS130" s="91"/>
      <c r="CT130" s="91"/>
      <c r="CU130" s="91"/>
      <c r="CV130" s="91"/>
      <c r="CW130" s="91"/>
      <c r="CX130" s="91"/>
      <c r="CY130" s="91"/>
      <c r="CZ130" s="91"/>
      <c r="DA130" s="94"/>
      <c r="DB130" s="94"/>
      <c r="DC130" s="13"/>
      <c r="DH130" s="109"/>
      <c r="DI130" s="109"/>
      <c r="DJ130" s="109"/>
      <c r="DK130" s="109"/>
      <c r="DL130" s="109"/>
      <c r="DM130" s="109"/>
      <c r="DN130" s="109"/>
      <c r="DO130" s="109"/>
      <c r="DP130" s="109"/>
    </row>
    <row r="131" spans="1:120" ht="15" customHeight="1">
      <c r="A131" s="317"/>
      <c r="B131" s="1205" t="s">
        <v>1515</v>
      </c>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5"/>
      <c r="X131" s="1205"/>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7"/>
      <c r="AY131" s="317"/>
      <c r="AZ131" s="317"/>
      <c r="BA131" s="317"/>
      <c r="BB131" s="317"/>
      <c r="BC131" s="317"/>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5"/>
      <c r="CH131" s="25"/>
      <c r="CI131" s="25"/>
      <c r="CJ131" s="25"/>
      <c r="CK131" s="25"/>
      <c r="CL131" s="25"/>
      <c r="CM131" s="25"/>
      <c r="CN131" s="25"/>
      <c r="CO131" s="25"/>
      <c r="CP131" s="25"/>
      <c r="CQ131" s="25"/>
      <c r="CR131" s="25"/>
      <c r="CS131" s="25"/>
      <c r="CT131" s="25"/>
      <c r="CU131" s="25"/>
      <c r="CV131" s="25"/>
      <c r="CW131" s="25"/>
      <c r="CX131" s="25"/>
      <c r="CY131" s="25"/>
      <c r="CZ131" s="25"/>
      <c r="DA131" s="26"/>
      <c r="DB131" s="26"/>
      <c r="DC131" s="13"/>
    </row>
    <row r="132" spans="1:120" ht="15" customHeight="1">
      <c r="A132" s="317"/>
      <c r="B132" s="1535" t="s">
        <v>538</v>
      </c>
      <c r="C132" s="1199"/>
      <c r="D132" s="1199"/>
      <c r="E132" s="1648" t="str">
        <f>計算用資料!J110</f>
        <v/>
      </c>
      <c r="F132" s="1648"/>
      <c r="G132" s="1648"/>
      <c r="H132" s="1648"/>
      <c r="I132" s="1648"/>
      <c r="J132" s="1648"/>
      <c r="K132" s="1648"/>
      <c r="L132" s="1648"/>
      <c r="M132" s="1648"/>
      <c r="N132" s="1170" t="s">
        <v>251</v>
      </c>
      <c r="O132" s="1170"/>
      <c r="P132" s="1199" t="str">
        <f>計算用資料!$M$110</f>
        <v/>
      </c>
      <c r="Q132" s="1199"/>
      <c r="R132" s="1199"/>
      <c r="S132" s="1199"/>
      <c r="T132" s="1199" t="s">
        <v>540</v>
      </c>
      <c r="U132" s="1199"/>
      <c r="V132" s="1170" t="str">
        <f>計算用資料!$M$110</f>
        <v/>
      </c>
      <c r="W132" s="1170"/>
      <c r="X132" s="1170"/>
      <c r="Y132" s="1170"/>
      <c r="Z132" s="1170"/>
      <c r="AA132" s="1170"/>
      <c r="AB132" s="1170"/>
      <c r="AC132" s="1199" t="s">
        <v>539</v>
      </c>
      <c r="AD132" s="1199"/>
      <c r="AE132" s="1199"/>
      <c r="AF132" s="1199"/>
      <c r="AG132" s="1199"/>
      <c r="AH132" s="1210" t="str">
        <f>計算用資料!L110</f>
        <v/>
      </c>
      <c r="AI132" s="1210"/>
      <c r="AJ132" s="1210"/>
      <c r="AK132" s="1210"/>
      <c r="AL132" s="1210"/>
      <c r="AM132" s="1210"/>
      <c r="AN132" s="1210"/>
      <c r="AO132" s="1210"/>
      <c r="AP132" s="1210"/>
      <c r="AQ132" s="1199" t="s">
        <v>256</v>
      </c>
      <c r="AR132" s="1199"/>
      <c r="AS132" s="1199"/>
      <c r="AT132" s="1199" t="str">
        <f>計算用資料!$M$110</f>
        <v/>
      </c>
      <c r="AU132" s="1199"/>
      <c r="AV132" s="1199"/>
      <c r="AW132" s="1199"/>
      <c r="AX132" s="1199"/>
      <c r="AY132" s="1199"/>
      <c r="AZ132" s="1199"/>
      <c r="BA132" s="1199"/>
      <c r="BB132" s="1207"/>
      <c r="BC132" s="592"/>
      <c r="BD132" s="120"/>
      <c r="BE132" s="120"/>
      <c r="BF132" s="120"/>
      <c r="BG132" s="120"/>
      <c r="BH132" s="120"/>
      <c r="BI132" s="120"/>
      <c r="BJ132" s="120"/>
      <c r="BK132" s="120"/>
      <c r="BL132" s="120"/>
      <c r="BM132" s="120"/>
      <c r="BN132" s="120"/>
      <c r="BO132" s="120"/>
      <c r="BP132" s="120"/>
      <c r="BQ132" s="120"/>
      <c r="BT132" s="5"/>
      <c r="BU132"/>
      <c r="BV132"/>
      <c r="BW132"/>
      <c r="BX132"/>
      <c r="BY132"/>
      <c r="BZ132"/>
      <c r="CA132"/>
      <c r="CB132"/>
      <c r="CC132"/>
      <c r="DG132" s="1"/>
      <c r="DH132" s="1"/>
      <c r="DI132" s="1"/>
      <c r="DJ132" s="1"/>
      <c r="DK132" s="1"/>
      <c r="DL132" s="1"/>
      <c r="DM132" s="1"/>
      <c r="DN132" s="1"/>
      <c r="DO132" s="1"/>
      <c r="DP132" s="1"/>
    </row>
    <row r="133" spans="1:120" ht="15" customHeight="1">
      <c r="A133" s="317"/>
      <c r="B133" s="1531" t="s">
        <v>248</v>
      </c>
      <c r="C133" s="1171"/>
      <c r="D133" s="1171"/>
      <c r="E133" s="1649" t="str">
        <f>計算用資料!K110</f>
        <v/>
      </c>
      <c r="F133" s="1649"/>
      <c r="G133" s="1649"/>
      <c r="H133" s="1649"/>
      <c r="I133" s="1649"/>
      <c r="J133" s="1649"/>
      <c r="K133" s="1649"/>
      <c r="L133" s="1649"/>
      <c r="M133" s="1649"/>
      <c r="N133" s="1171"/>
      <c r="O133" s="1171"/>
      <c r="P133" s="1200"/>
      <c r="Q133" s="1200"/>
      <c r="R133" s="1200"/>
      <c r="S133" s="1200"/>
      <c r="T133" s="1200"/>
      <c r="U133" s="1200"/>
      <c r="V133" s="1171"/>
      <c r="W133" s="1171"/>
      <c r="X133" s="1171"/>
      <c r="Y133" s="1171"/>
      <c r="Z133" s="1171"/>
      <c r="AA133" s="1171"/>
      <c r="AB133" s="1171"/>
      <c r="AC133" s="1200"/>
      <c r="AD133" s="1200"/>
      <c r="AE133" s="1200"/>
      <c r="AF133" s="1200"/>
      <c r="AG133" s="1200"/>
      <c r="AH133" s="1211"/>
      <c r="AI133" s="1211"/>
      <c r="AJ133" s="1211"/>
      <c r="AK133" s="1211"/>
      <c r="AL133" s="1211"/>
      <c r="AM133" s="1211"/>
      <c r="AN133" s="1211"/>
      <c r="AO133" s="1211"/>
      <c r="AP133" s="1211"/>
      <c r="AQ133" s="1200"/>
      <c r="AR133" s="1200"/>
      <c r="AS133" s="1200"/>
      <c r="AT133" s="1200"/>
      <c r="AU133" s="1200"/>
      <c r="AV133" s="1200"/>
      <c r="AW133" s="1200"/>
      <c r="AX133" s="1200"/>
      <c r="AY133" s="1200"/>
      <c r="AZ133" s="1200"/>
      <c r="BA133" s="1200"/>
      <c r="BB133" s="1208"/>
      <c r="BC133" s="592"/>
      <c r="BD133" s="120"/>
      <c r="BE133" s="120"/>
      <c r="BF133" s="120"/>
      <c r="BG133" s="120"/>
      <c r="BH133" s="120"/>
      <c r="BI133" s="120"/>
      <c r="BJ133" s="120"/>
      <c r="BK133" s="120"/>
      <c r="BL133" s="120"/>
      <c r="BM133" s="120"/>
      <c r="BN133" s="120"/>
      <c r="BO133" s="120"/>
      <c r="BP133" s="120"/>
      <c r="BQ133" s="120"/>
      <c r="BT133" s="5"/>
      <c r="BU133"/>
      <c r="BV133"/>
      <c r="BW133"/>
      <c r="BX133"/>
      <c r="BY133"/>
      <c r="BZ133"/>
      <c r="CA133"/>
      <c r="CB133"/>
      <c r="CC133"/>
      <c r="DG133" s="1"/>
      <c r="DH133" s="1"/>
      <c r="DI133" s="1"/>
      <c r="DJ133" s="1"/>
      <c r="DK133" s="1"/>
      <c r="DL133" s="1"/>
      <c r="DM133" s="1"/>
      <c r="DN133" s="1"/>
      <c r="DO133" s="1"/>
      <c r="DP133" s="1"/>
    </row>
    <row r="134" spans="1:120" ht="15" customHeight="1">
      <c r="A134" s="317"/>
      <c r="B134" s="1534" t="s">
        <v>249</v>
      </c>
      <c r="C134" s="1172"/>
      <c r="D134" s="1172"/>
      <c r="E134" s="1172" t="str">
        <f>計算用資料!$M$110</f>
        <v/>
      </c>
      <c r="F134" s="1172"/>
      <c r="G134" s="1172"/>
      <c r="H134" s="1172"/>
      <c r="I134" s="1172"/>
      <c r="J134" s="1172"/>
      <c r="K134" s="1172"/>
      <c r="L134" s="1172"/>
      <c r="M134" s="1172"/>
      <c r="N134" s="1172"/>
      <c r="O134" s="1172"/>
      <c r="P134" s="1159"/>
      <c r="Q134" s="1159"/>
      <c r="R134" s="1159"/>
      <c r="S134" s="1159"/>
      <c r="T134" s="1159"/>
      <c r="U134" s="1159"/>
      <c r="V134" s="1172"/>
      <c r="W134" s="1172"/>
      <c r="X134" s="1172"/>
      <c r="Y134" s="1172"/>
      <c r="Z134" s="1172"/>
      <c r="AA134" s="1172"/>
      <c r="AB134" s="1172"/>
      <c r="AC134" s="1159"/>
      <c r="AD134" s="1159"/>
      <c r="AE134" s="1159"/>
      <c r="AF134" s="1159"/>
      <c r="AG134" s="1159"/>
      <c r="AH134" s="1212"/>
      <c r="AI134" s="1212"/>
      <c r="AJ134" s="1212"/>
      <c r="AK134" s="1212"/>
      <c r="AL134" s="1212"/>
      <c r="AM134" s="1212"/>
      <c r="AN134" s="1212"/>
      <c r="AO134" s="1212"/>
      <c r="AP134" s="1212"/>
      <c r="AQ134" s="1159"/>
      <c r="AR134" s="1159"/>
      <c r="AS134" s="1159"/>
      <c r="AT134" s="1159"/>
      <c r="AU134" s="1159"/>
      <c r="AV134" s="1159"/>
      <c r="AW134" s="1159"/>
      <c r="AX134" s="1159"/>
      <c r="AY134" s="1159"/>
      <c r="AZ134" s="1159"/>
      <c r="BA134" s="1159"/>
      <c r="BB134" s="1209"/>
      <c r="BC134" s="592"/>
      <c r="BD134" s="120"/>
      <c r="BE134" s="120"/>
      <c r="BF134" s="120"/>
      <c r="BG134" s="120"/>
      <c r="BH134" s="120"/>
      <c r="BI134" s="120"/>
      <c r="BJ134" s="120"/>
      <c r="BK134" s="120"/>
      <c r="BL134" s="120"/>
      <c r="BM134" s="120"/>
      <c r="BN134" s="120"/>
      <c r="BO134" s="120"/>
      <c r="BP134" s="120"/>
      <c r="BQ134" s="120"/>
      <c r="BT134" s="5"/>
      <c r="BU134"/>
      <c r="BV134"/>
      <c r="BW134"/>
      <c r="BX134"/>
      <c r="BY134"/>
      <c r="BZ134"/>
      <c r="CA134"/>
      <c r="CB134"/>
      <c r="CC134"/>
      <c r="DG134" s="1"/>
      <c r="DH134" s="1"/>
      <c r="DI134" s="1"/>
      <c r="DJ134" s="1"/>
      <c r="DK134" s="1"/>
      <c r="DL134" s="1"/>
      <c r="DM134" s="1"/>
      <c r="DN134" s="1"/>
      <c r="DO134" s="1"/>
      <c r="DP134" s="1"/>
    </row>
    <row r="135" spans="1:120" ht="15" customHeight="1">
      <c r="A135" s="317"/>
      <c r="B135" s="317"/>
      <c r="C135" s="317"/>
      <c r="D135" s="317"/>
      <c r="E135" s="317"/>
      <c r="F135" s="317"/>
      <c r="G135" s="317"/>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c r="AS135" s="317"/>
      <c r="AT135" s="317"/>
      <c r="AU135" s="317"/>
      <c r="AV135" s="317"/>
      <c r="AW135" s="317"/>
      <c r="AX135" s="317"/>
      <c r="AY135" s="317"/>
      <c r="AZ135" s="317"/>
      <c r="BA135" s="317"/>
      <c r="BB135" s="317"/>
      <c r="BC135" s="317"/>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5"/>
      <c r="CH135" s="25"/>
      <c r="CI135" s="25"/>
      <c r="CJ135" s="25"/>
      <c r="CK135" s="25"/>
      <c r="CL135" s="25"/>
      <c r="CM135" s="25"/>
      <c r="CN135" s="25"/>
      <c r="CO135" s="25"/>
      <c r="CP135" s="25"/>
      <c r="CQ135" s="25"/>
      <c r="CR135" s="25"/>
      <c r="CS135" s="25"/>
      <c r="CT135" s="25"/>
      <c r="CU135" s="25"/>
      <c r="CV135" s="25"/>
      <c r="CW135" s="25"/>
      <c r="CX135" s="25"/>
      <c r="CY135" s="25"/>
      <c r="CZ135" s="25"/>
      <c r="DA135" s="26"/>
      <c r="DB135" s="26"/>
      <c r="DC135" s="13"/>
    </row>
    <row r="136" spans="1:120" ht="15" customHeight="1">
      <c r="A136" s="317"/>
      <c r="B136" s="1206" t="s">
        <v>1040</v>
      </c>
      <c r="C136" s="1206"/>
      <c r="D136" s="1206"/>
      <c r="E136" s="1206"/>
      <c r="F136" s="1206"/>
      <c r="G136" s="1206"/>
      <c r="H136" s="1206"/>
      <c r="I136" s="1206"/>
      <c r="J136" s="1206"/>
      <c r="K136" s="1206"/>
      <c r="L136" s="1206"/>
      <c r="M136" s="1206"/>
      <c r="N136" s="1206"/>
      <c r="O136" s="1206"/>
      <c r="P136" s="1206"/>
      <c r="Q136" s="1206"/>
      <c r="R136" s="1206"/>
      <c r="S136" s="1206"/>
      <c r="T136" s="1206"/>
      <c r="U136" s="1206"/>
      <c r="V136" s="1206"/>
      <c r="W136" s="1206"/>
      <c r="X136" s="1206"/>
      <c r="Y136" s="1206"/>
      <c r="Z136" s="1206"/>
      <c r="AA136" s="1206"/>
      <c r="AB136" s="1206"/>
      <c r="AC136" s="1206"/>
      <c r="AD136" s="1206"/>
      <c r="AE136" s="1206"/>
      <c r="AF136" s="1206"/>
      <c r="AG136" s="1206"/>
      <c r="AH136" s="1206"/>
      <c r="AI136" s="1206"/>
      <c r="AJ136" s="1206"/>
      <c r="AK136" s="1206"/>
      <c r="AL136" s="1206"/>
      <c r="AM136" s="1206"/>
      <c r="AN136" s="1206"/>
      <c r="AO136" s="1206"/>
      <c r="AP136" s="1206"/>
      <c r="AQ136" s="1206"/>
      <c r="AR136" s="1206"/>
      <c r="AS136" s="1206"/>
      <c r="AT136" s="1206"/>
      <c r="AU136" s="1206"/>
      <c r="AV136" s="1206"/>
      <c r="AW136" s="1206"/>
      <c r="AX136" s="1206"/>
      <c r="AY136" s="1206"/>
      <c r="AZ136" s="1206"/>
      <c r="BA136" s="1206"/>
      <c r="BB136" s="1206"/>
      <c r="BC136" s="593"/>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4"/>
    </row>
    <row r="137" spans="1:120" ht="15" customHeight="1">
      <c r="A137" s="317"/>
      <c r="B137" s="1532" t="s">
        <v>536</v>
      </c>
      <c r="C137" s="1533"/>
      <c r="D137" s="1183" t="s">
        <v>535</v>
      </c>
      <c r="E137" s="1183"/>
      <c r="F137" s="1183"/>
      <c r="G137" s="1183"/>
      <c r="H137" s="1183"/>
      <c r="I137" s="1183"/>
      <c r="J137" s="1183"/>
      <c r="K137" s="1183"/>
      <c r="L137" s="1183"/>
      <c r="M137" s="1183"/>
      <c r="N137" s="1183"/>
      <c r="O137" s="1183"/>
      <c r="P137" s="1183"/>
      <c r="Q137" s="1183"/>
      <c r="R137" s="1183"/>
      <c r="S137" s="1183"/>
      <c r="T137" s="1183"/>
      <c r="U137" s="1183"/>
      <c r="V137" s="1184"/>
      <c r="W137" s="1201" t="s">
        <v>534</v>
      </c>
      <c r="X137" s="1202"/>
      <c r="Y137" s="1163" t="str">
        <f>収入がない方!E16</f>
        <v>□</v>
      </c>
      <c r="Z137" s="1163"/>
      <c r="AA137" s="1187" t="s">
        <v>274</v>
      </c>
      <c r="AB137" s="1187"/>
      <c r="AC137" s="1187"/>
      <c r="AD137" s="1187"/>
      <c r="AE137" s="1163" t="str">
        <f>収入がない方!E17</f>
        <v>□</v>
      </c>
      <c r="AF137" s="1163"/>
      <c r="AG137" s="1187" t="s">
        <v>275</v>
      </c>
      <c r="AH137" s="1187"/>
      <c r="AI137" s="1187"/>
      <c r="AJ137" s="1187"/>
      <c r="AK137" s="1163" t="str">
        <f>収入がない方!E18</f>
        <v>□</v>
      </c>
      <c r="AL137" s="1163"/>
      <c r="AM137" s="1187" t="s">
        <v>276</v>
      </c>
      <c r="AN137" s="1187"/>
      <c r="AO137" s="1187"/>
      <c r="AP137" s="1187"/>
      <c r="AQ137" s="1163" t="str">
        <f>収入がない方!H16</f>
        <v>□</v>
      </c>
      <c r="AR137" s="1163"/>
      <c r="AS137" s="1187" t="s">
        <v>277</v>
      </c>
      <c r="AT137" s="1187"/>
      <c r="AU137" s="1187"/>
      <c r="AV137" s="1187"/>
      <c r="AW137" s="1163" t="str">
        <f>収入がない方!E19</f>
        <v>□</v>
      </c>
      <c r="AX137" s="1163"/>
      <c r="AY137" s="1187" t="s">
        <v>278</v>
      </c>
      <c r="AZ137" s="1187"/>
      <c r="BA137" s="1187"/>
      <c r="BB137" s="1188"/>
      <c r="BC137" s="594"/>
      <c r="BD137" s="117"/>
      <c r="BE137" s="142"/>
      <c r="BF137" s="117"/>
      <c r="BG137" s="117"/>
      <c r="BH137" s="117"/>
      <c r="BI137" s="117"/>
      <c r="BJ137" s="117"/>
      <c r="BK137" s="117"/>
      <c r="BL137" s="117"/>
      <c r="BM137" s="142"/>
      <c r="BN137" s="117"/>
      <c r="BO137" s="117"/>
      <c r="BP137" s="142"/>
      <c r="BQ137" s="117"/>
      <c r="BR137" s="117"/>
      <c r="BS137" s="117"/>
      <c r="BT137" s="117"/>
      <c r="BU137" s="117"/>
      <c r="BV137" s="117"/>
      <c r="BW137" s="117"/>
      <c r="BZ137" s="5"/>
      <c r="CA137"/>
      <c r="CB137"/>
      <c r="CC137"/>
      <c r="CD137"/>
      <c r="CE137"/>
      <c r="CF137"/>
      <c r="CG137"/>
      <c r="CH137"/>
      <c r="CI137"/>
      <c r="DG137" s="1"/>
      <c r="DH137" s="1"/>
      <c r="DI137" s="1"/>
      <c r="DJ137" s="1"/>
      <c r="DK137" s="1"/>
      <c r="DL137" s="1"/>
      <c r="DM137" s="1"/>
      <c r="DN137" s="1"/>
      <c r="DO137" s="1"/>
      <c r="DP137" s="1"/>
    </row>
    <row r="138" spans="1:120" ht="15" customHeight="1">
      <c r="A138" s="317"/>
      <c r="B138" s="595"/>
      <c r="C138" s="596"/>
      <c r="D138" s="1519" t="s">
        <v>257</v>
      </c>
      <c r="E138" s="1520"/>
      <c r="F138" s="1654">
        <f>収入がない方!E6</f>
        <v>0</v>
      </c>
      <c r="G138" s="1654"/>
      <c r="H138" s="1654"/>
      <c r="I138" s="1654"/>
      <c r="J138" s="1654"/>
      <c r="K138" s="1654"/>
      <c r="L138" s="1654"/>
      <c r="M138" s="1654"/>
      <c r="N138" s="1654"/>
      <c r="O138" s="1654"/>
      <c r="P138" s="1654"/>
      <c r="Q138" s="1654"/>
      <c r="R138" s="1654"/>
      <c r="S138" s="1654"/>
      <c r="T138" s="1654"/>
      <c r="U138" s="1654"/>
      <c r="V138" s="1655"/>
      <c r="W138" s="597"/>
      <c r="X138" s="598"/>
      <c r="Y138" s="1162" t="str">
        <f>収入がない方!H17</f>
        <v>□</v>
      </c>
      <c r="Z138" s="1162"/>
      <c r="AA138" s="1182" t="s">
        <v>452</v>
      </c>
      <c r="AB138" s="1182"/>
      <c r="AC138" s="1182"/>
      <c r="AD138" s="1182"/>
      <c r="AE138" s="1162" t="str">
        <f>収入がない方!H18</f>
        <v>□</v>
      </c>
      <c r="AF138" s="1162"/>
      <c r="AG138" s="1653" t="s">
        <v>453</v>
      </c>
      <c r="AH138" s="1653"/>
      <c r="AI138" s="1653"/>
      <c r="AJ138" s="1653"/>
      <c r="AK138" s="1173" t="str">
        <f>収入がない方!H19</f>
        <v>□</v>
      </c>
      <c r="AL138" s="1173"/>
      <c r="AM138" s="1182" t="s">
        <v>266</v>
      </c>
      <c r="AN138" s="1182"/>
      <c r="AO138" s="1182"/>
      <c r="AP138" s="1182"/>
      <c r="AQ138" s="1204" t="s">
        <v>279</v>
      </c>
      <c r="AR138" s="1204"/>
      <c r="AS138" s="1607">
        <f>収入がない方!J19</f>
        <v>0</v>
      </c>
      <c r="AT138" s="1607"/>
      <c r="AU138" s="1607"/>
      <c r="AV138" s="1607"/>
      <c r="AW138" s="1607"/>
      <c r="AX138" s="1607"/>
      <c r="AY138" s="1607"/>
      <c r="AZ138" s="1607"/>
      <c r="BA138" s="1204" t="s">
        <v>280</v>
      </c>
      <c r="BB138" s="1606"/>
      <c r="BC138" s="594"/>
      <c r="BD138" s="117"/>
      <c r="BE138" s="142"/>
      <c r="BF138" s="117"/>
      <c r="BG138" s="117"/>
      <c r="BH138" s="117"/>
      <c r="BI138" s="117"/>
      <c r="BJ138" s="117"/>
      <c r="BK138" s="117"/>
      <c r="BL138" s="117"/>
      <c r="BM138" s="117"/>
      <c r="BN138" s="117"/>
      <c r="BO138" s="117"/>
      <c r="BP138" s="117"/>
      <c r="BQ138" s="117"/>
      <c r="BR138" s="117"/>
      <c r="BS138" s="117"/>
      <c r="BT138" s="117"/>
      <c r="BU138" s="117"/>
      <c r="BV138" s="142"/>
      <c r="BW138" s="117"/>
      <c r="BZ138" s="5"/>
      <c r="CA138"/>
      <c r="CB138"/>
      <c r="CC138"/>
      <c r="CD138"/>
      <c r="CE138"/>
      <c r="CF138"/>
      <c r="CG138"/>
      <c r="CH138"/>
      <c r="CI138"/>
      <c r="DG138" s="1"/>
      <c r="DH138" s="1"/>
      <c r="DI138" s="1"/>
      <c r="DJ138" s="1"/>
      <c r="DK138" s="1"/>
      <c r="DL138" s="1"/>
      <c r="DM138" s="1"/>
      <c r="DN138" s="1"/>
      <c r="DO138" s="1"/>
      <c r="DP138" s="1"/>
    </row>
    <row r="139" spans="1:120" ht="15" customHeight="1">
      <c r="A139" s="317"/>
      <c r="B139" s="599"/>
      <c r="C139" s="600"/>
      <c r="D139" s="1519" t="s">
        <v>4</v>
      </c>
      <c r="E139" s="1520"/>
      <c r="F139" s="1553">
        <f>収入がない方!E7</f>
        <v>0</v>
      </c>
      <c r="G139" s="1553"/>
      <c r="H139" s="1553"/>
      <c r="I139" s="1553"/>
      <c r="J139" s="1553"/>
      <c r="K139" s="1553"/>
      <c r="L139" s="1553"/>
      <c r="M139" s="1553"/>
      <c r="N139" s="1553"/>
      <c r="O139" s="1553"/>
      <c r="P139" s="1520" t="s">
        <v>537</v>
      </c>
      <c r="Q139" s="1520"/>
      <c r="R139" s="1520"/>
      <c r="S139" s="1553">
        <f>収入がない方!E8</f>
        <v>0</v>
      </c>
      <c r="T139" s="1553"/>
      <c r="U139" s="1553"/>
      <c r="V139" s="1554"/>
      <c r="W139" s="597"/>
      <c r="X139" s="598"/>
      <c r="Y139" s="1568" t="s">
        <v>515</v>
      </c>
      <c r="Z139" s="1568"/>
      <c r="AA139" s="1568"/>
      <c r="AB139" s="1568"/>
      <c r="AC139" s="1568"/>
      <c r="AD139" s="1568"/>
      <c r="AE139" s="1568"/>
      <c r="AF139" s="1568"/>
      <c r="AG139" s="1568"/>
      <c r="AH139" s="1568"/>
      <c r="AI139" s="1568"/>
      <c r="AJ139" s="1568"/>
      <c r="AK139" s="1568"/>
      <c r="AL139" s="1568"/>
      <c r="AM139" s="1568"/>
      <c r="AN139" s="1568"/>
      <c r="AO139" s="1568"/>
      <c r="AP139" s="1568"/>
      <c r="AQ139" s="1568"/>
      <c r="AR139" s="1568"/>
      <c r="AS139" s="1568"/>
      <c r="AT139" s="1568"/>
      <c r="AU139" s="1568"/>
      <c r="AV139" s="1568"/>
      <c r="AW139" s="1568"/>
      <c r="AX139" s="1568"/>
      <c r="AY139" s="1568"/>
      <c r="AZ139" s="1568"/>
      <c r="BA139" s="1568"/>
      <c r="BB139" s="1569"/>
      <c r="BC139" s="434"/>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Z139" s="5"/>
      <c r="CA139"/>
      <c r="CB139"/>
      <c r="CC139"/>
      <c r="CD139"/>
      <c r="CE139"/>
      <c r="CF139"/>
      <c r="CG139"/>
      <c r="CH139"/>
      <c r="CI139"/>
      <c r="DG139" s="1"/>
      <c r="DH139" s="1"/>
      <c r="DI139" s="1"/>
      <c r="DJ139" s="1"/>
      <c r="DK139" s="1"/>
      <c r="DL139" s="1"/>
      <c r="DM139" s="1"/>
      <c r="DN139" s="1"/>
      <c r="DO139" s="1"/>
      <c r="DP139" s="1"/>
    </row>
    <row r="140" spans="1:120" ht="15" customHeight="1">
      <c r="A140" s="317"/>
      <c r="B140" s="599"/>
      <c r="C140" s="600"/>
      <c r="D140" s="1519"/>
      <c r="E140" s="1520"/>
      <c r="F140" s="1553"/>
      <c r="G140" s="1553"/>
      <c r="H140" s="1553"/>
      <c r="I140" s="1553"/>
      <c r="J140" s="1553"/>
      <c r="K140" s="1553"/>
      <c r="L140" s="1553"/>
      <c r="M140" s="1553"/>
      <c r="N140" s="1553"/>
      <c r="O140" s="1553"/>
      <c r="P140" s="1520"/>
      <c r="Q140" s="1520"/>
      <c r="R140" s="1520"/>
      <c r="S140" s="1553"/>
      <c r="T140" s="1553"/>
      <c r="U140" s="1553"/>
      <c r="V140" s="1554"/>
      <c r="W140" s="601"/>
      <c r="X140" s="602"/>
      <c r="Y140" s="1570">
        <f>収入がない方!E22</f>
        <v>0</v>
      </c>
      <c r="Z140" s="1570"/>
      <c r="AA140" s="1570"/>
      <c r="AB140" s="1570"/>
      <c r="AC140" s="1570"/>
      <c r="AD140" s="1570"/>
      <c r="AE140" s="1570"/>
      <c r="AF140" s="1570"/>
      <c r="AG140" s="1570"/>
      <c r="AH140" s="1570"/>
      <c r="AI140" s="1570"/>
      <c r="AJ140" s="1570"/>
      <c r="AK140" s="1570"/>
      <c r="AL140" s="1570"/>
      <c r="AM140" s="1181" t="s">
        <v>273</v>
      </c>
      <c r="AN140" s="1181"/>
      <c r="AO140" s="1570">
        <f>収入がない方!I22</f>
        <v>0</v>
      </c>
      <c r="AP140" s="1570"/>
      <c r="AQ140" s="1570"/>
      <c r="AR140" s="1570"/>
      <c r="AS140" s="1570"/>
      <c r="AT140" s="1570"/>
      <c r="AU140" s="1570"/>
      <c r="AV140" s="1570"/>
      <c r="AW140" s="1570"/>
      <c r="AX140" s="1570"/>
      <c r="AY140" s="1570"/>
      <c r="AZ140" s="1570"/>
      <c r="BA140" s="1570"/>
      <c r="BB140" s="1571"/>
      <c r="BC140" s="431"/>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Z140" s="5"/>
      <c r="CA140"/>
      <c r="CB140"/>
      <c r="CC140"/>
      <c r="CD140"/>
      <c r="CE140"/>
      <c r="CF140"/>
      <c r="CG140"/>
      <c r="CH140"/>
      <c r="CI140"/>
      <c r="DG140" s="1"/>
      <c r="DH140" s="1"/>
      <c r="DI140" s="1"/>
      <c r="DJ140" s="1"/>
      <c r="DK140" s="1"/>
      <c r="DL140" s="1"/>
      <c r="DM140" s="1"/>
      <c r="DN140" s="1"/>
      <c r="DO140" s="1"/>
      <c r="DP140" s="1"/>
    </row>
    <row r="141" spans="1:120" ht="15" customHeight="1">
      <c r="A141" s="317"/>
      <c r="B141" s="599"/>
      <c r="C141" s="600"/>
      <c r="D141" s="1563" t="s">
        <v>102</v>
      </c>
      <c r="E141" s="1564"/>
      <c r="F141" s="1564"/>
      <c r="G141" s="1564"/>
      <c r="H141" s="1564"/>
      <c r="I141" s="1564"/>
      <c r="J141" s="1564"/>
      <c r="K141" s="1564"/>
      <c r="L141" s="1564"/>
      <c r="M141" s="1564"/>
      <c r="N141" s="1564"/>
      <c r="O141" s="1564"/>
      <c r="P141" s="1564"/>
      <c r="Q141" s="1564"/>
      <c r="R141" s="1564"/>
      <c r="S141" s="1564"/>
      <c r="T141" s="1564"/>
      <c r="U141" s="1564"/>
      <c r="V141" s="1565"/>
      <c r="W141" s="1566" t="s">
        <v>920</v>
      </c>
      <c r="X141" s="1567"/>
      <c r="Y141" s="1185" t="s">
        <v>485</v>
      </c>
      <c r="Z141" s="1185"/>
      <c r="AA141" s="1185"/>
      <c r="AB141" s="1185"/>
      <c r="AC141" s="1185"/>
      <c r="AD141" s="1185"/>
      <c r="AE141" s="1185"/>
      <c r="AF141" s="1185"/>
      <c r="AG141" s="1185"/>
      <c r="AH141" s="1185"/>
      <c r="AI141" s="1185"/>
      <c r="AJ141" s="1185"/>
      <c r="AK141" s="1185"/>
      <c r="AL141" s="1185"/>
      <c r="AM141" s="1185"/>
      <c r="AN141" s="1185"/>
      <c r="AO141" s="1185"/>
      <c r="AP141" s="1185"/>
      <c r="AQ141" s="1185"/>
      <c r="AR141" s="1185"/>
      <c r="AS141" s="1185"/>
      <c r="AT141" s="1185"/>
      <c r="AU141" s="1185"/>
      <c r="AV141" s="1185"/>
      <c r="AW141" s="1185"/>
      <c r="AX141" s="1185"/>
      <c r="AY141" s="1185"/>
      <c r="AZ141" s="1185"/>
      <c r="BA141" s="1185"/>
      <c r="BB141" s="1186"/>
      <c r="BC141" s="603"/>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Z141" s="5"/>
      <c r="CA141"/>
      <c r="CB141"/>
      <c r="CC141"/>
      <c r="CD141"/>
      <c r="CE141"/>
      <c r="CF141"/>
      <c r="CG141"/>
      <c r="CH141"/>
      <c r="CI141"/>
      <c r="DG141" s="1"/>
      <c r="DH141" s="1"/>
      <c r="DI141" s="1"/>
      <c r="DJ141" s="1"/>
      <c r="DK141" s="1"/>
      <c r="DL141" s="1"/>
      <c r="DM141" s="1"/>
      <c r="DN141" s="1"/>
      <c r="DO141" s="1"/>
      <c r="DP141" s="1"/>
    </row>
    <row r="142" spans="1:120" ht="15" customHeight="1">
      <c r="A142" s="317"/>
      <c r="B142" s="604"/>
      <c r="C142" s="605"/>
      <c r="D142" s="1551" t="s">
        <v>103</v>
      </c>
      <c r="E142" s="1552"/>
      <c r="F142" s="1555">
        <f>収入がない方!E11</f>
        <v>0</v>
      </c>
      <c r="G142" s="1556"/>
      <c r="H142" s="1556"/>
      <c r="I142" s="1556"/>
      <c r="J142" s="1556"/>
      <c r="K142" s="1556"/>
      <c r="L142" s="1556"/>
      <c r="M142" s="1556"/>
      <c r="N142" s="1560"/>
      <c r="O142" s="1555">
        <f>収入がない方!E12</f>
        <v>0</v>
      </c>
      <c r="P142" s="1556"/>
      <c r="Q142" s="1556"/>
      <c r="R142" s="1556"/>
      <c r="S142" s="1556"/>
      <c r="T142" s="1556"/>
      <c r="U142" s="1561"/>
      <c r="V142" s="1562"/>
      <c r="W142" s="606"/>
      <c r="X142" s="607"/>
      <c r="Y142" s="1521">
        <f>収入がない方!E25</f>
        <v>0</v>
      </c>
      <c r="Z142" s="1521"/>
      <c r="AA142" s="1521"/>
      <c r="AB142" s="1521"/>
      <c r="AC142" s="1521"/>
      <c r="AD142" s="1521"/>
      <c r="AE142" s="1521"/>
      <c r="AF142" s="1521"/>
      <c r="AG142" s="1521"/>
      <c r="AH142" s="1521"/>
      <c r="AI142" s="1521"/>
      <c r="AJ142" s="1521"/>
      <c r="AK142" s="1521"/>
      <c r="AL142" s="1521"/>
      <c r="AM142" s="1521"/>
      <c r="AN142" s="1521"/>
      <c r="AO142" s="1521"/>
      <c r="AP142" s="1521"/>
      <c r="AQ142" s="1521"/>
      <c r="AR142" s="1521"/>
      <c r="AS142" s="1521"/>
      <c r="AT142" s="1521"/>
      <c r="AU142" s="1521"/>
      <c r="AV142" s="1521"/>
      <c r="AW142" s="1521"/>
      <c r="AX142" s="1521"/>
      <c r="AY142" s="1521"/>
      <c r="AZ142" s="1521"/>
      <c r="BA142" s="1521"/>
      <c r="BB142" s="1522"/>
      <c r="BC142" s="431"/>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Z142" s="5"/>
      <c r="CA142"/>
      <c r="CB142"/>
      <c r="CC142"/>
      <c r="CD142"/>
      <c r="CE142"/>
      <c r="CF142"/>
      <c r="CG142"/>
      <c r="CH142"/>
      <c r="CI142"/>
      <c r="DG142" s="1"/>
      <c r="DH142" s="1"/>
      <c r="DI142" s="1"/>
      <c r="DJ142" s="1"/>
      <c r="DK142" s="1"/>
      <c r="DL142" s="1"/>
      <c r="DM142" s="1"/>
      <c r="DN142" s="1"/>
      <c r="DO142" s="1"/>
      <c r="DP142" s="1"/>
    </row>
    <row r="143" spans="1:120" ht="15" customHeight="1">
      <c r="A143" s="317"/>
      <c r="B143" s="608"/>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08"/>
      <c r="AL143" s="608"/>
      <c r="AM143" s="608"/>
      <c r="AN143" s="608"/>
      <c r="AO143" s="608"/>
      <c r="AP143" s="608"/>
      <c r="AQ143" s="608"/>
      <c r="AR143" s="608"/>
      <c r="AS143" s="608"/>
      <c r="AT143" s="608"/>
      <c r="AU143" s="608"/>
      <c r="AV143" s="608"/>
      <c r="AW143" s="608"/>
      <c r="AX143" s="608"/>
      <c r="AY143" s="608"/>
      <c r="AZ143" s="608"/>
      <c r="BA143" s="608"/>
      <c r="BB143" s="608"/>
      <c r="BC143" s="60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1198"/>
      <c r="CZ143" s="1198"/>
      <c r="DA143" s="1198"/>
      <c r="DB143" s="1198"/>
    </row>
    <row r="144" spans="1:120" ht="15" customHeight="1">
      <c r="A144" s="317"/>
      <c r="B144" s="317"/>
      <c r="C144" s="317"/>
      <c r="D144" s="317"/>
      <c r="E144" s="317"/>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c r="AV144" s="317"/>
      <c r="AW144" s="317"/>
      <c r="AX144" s="317"/>
      <c r="AY144" s="317"/>
      <c r="AZ144" s="317"/>
      <c r="BA144" s="317"/>
      <c r="BB144" s="317"/>
      <c r="BC144" s="317"/>
    </row>
    <row r="145" spans="1:120">
      <c r="A145" s="317"/>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7"/>
      <c r="AY145" s="317"/>
      <c r="AZ145" s="317"/>
      <c r="BA145" s="317"/>
      <c r="BB145" s="317"/>
      <c r="BC145" s="317"/>
    </row>
    <row r="146" spans="1:120" ht="2.1" customHeight="1">
      <c r="A146" s="317"/>
      <c r="B146" s="317"/>
      <c r="C146" s="317"/>
      <c r="D146" s="317"/>
      <c r="E146" s="317"/>
      <c r="F146" s="317"/>
      <c r="G146" s="317"/>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7"/>
      <c r="AZ146" s="317"/>
      <c r="BA146" s="317"/>
      <c r="BB146" s="317"/>
      <c r="BC146" s="317"/>
    </row>
    <row r="147" spans="1:120" ht="2.1" customHeight="1">
      <c r="A147" s="317"/>
      <c r="B147" s="317"/>
      <c r="C147" s="317"/>
      <c r="D147" s="317"/>
      <c r="E147" s="317"/>
      <c r="F147" s="317"/>
      <c r="G147" s="317"/>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7"/>
      <c r="AY147" s="317"/>
      <c r="AZ147" s="317"/>
      <c r="BA147" s="317"/>
      <c r="BB147" s="317"/>
      <c r="BC147" s="317"/>
    </row>
    <row r="148" spans="1:120" ht="2.1" customHeight="1">
      <c r="A148" s="317"/>
      <c r="B148" s="317"/>
      <c r="C148" s="317"/>
      <c r="D148" s="31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c r="AT148" s="317"/>
      <c r="AU148" s="317"/>
      <c r="AV148" s="317"/>
      <c r="AW148" s="317"/>
      <c r="AX148" s="317"/>
      <c r="AY148" s="317"/>
      <c r="AZ148" s="317"/>
      <c r="BA148" s="317"/>
      <c r="BB148" s="317"/>
      <c r="BC148" s="317"/>
    </row>
    <row r="149" spans="1:120" ht="2.1" customHeight="1">
      <c r="A149" s="317"/>
      <c r="B149" s="317"/>
      <c r="C149" s="317"/>
      <c r="D149" s="317"/>
      <c r="E149" s="317"/>
      <c r="F149" s="317"/>
      <c r="G149" s="317"/>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317"/>
      <c r="AS149" s="317"/>
      <c r="AT149" s="317"/>
      <c r="AU149" s="317"/>
      <c r="AV149" s="317"/>
      <c r="AW149" s="317"/>
      <c r="AX149" s="317"/>
      <c r="AY149" s="317"/>
      <c r="AZ149" s="317"/>
      <c r="BA149" s="317"/>
      <c r="BB149" s="317"/>
      <c r="BC149" s="317"/>
    </row>
    <row r="150" spans="1:120" ht="2.1" customHeight="1">
      <c r="A150" s="317"/>
      <c r="B150" s="317"/>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c r="AP150" s="317"/>
      <c r="AQ150" s="317"/>
      <c r="AR150" s="317"/>
      <c r="AS150" s="317"/>
      <c r="AT150" s="317"/>
      <c r="AU150" s="317"/>
      <c r="AV150" s="317"/>
      <c r="AW150" s="317"/>
      <c r="AX150" s="317"/>
      <c r="AY150" s="317"/>
      <c r="AZ150" s="317"/>
      <c r="BA150" s="317"/>
      <c r="BB150" s="317"/>
      <c r="BC150" s="317"/>
    </row>
    <row r="151" spans="1:120" ht="2.1" customHeight="1">
      <c r="A151" s="317"/>
      <c r="B151" s="317"/>
      <c r="C151" s="317"/>
      <c r="D151" s="317"/>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317"/>
      <c r="AU151" s="317"/>
      <c r="AV151" s="317"/>
      <c r="AW151" s="317"/>
      <c r="AX151" s="317"/>
      <c r="AY151" s="317"/>
      <c r="AZ151" s="317"/>
      <c r="BA151" s="317"/>
      <c r="BB151" s="317"/>
      <c r="BC151" s="317"/>
    </row>
    <row r="152" spans="1:120" s="187" customFormat="1" ht="21" customHeight="1">
      <c r="A152" s="293"/>
      <c r="B152" s="293"/>
      <c r="C152" s="1644" t="s">
        <v>664</v>
      </c>
      <c r="D152" s="1644"/>
      <c r="E152" s="1644"/>
      <c r="F152" s="1644"/>
      <c r="G152" s="1644"/>
      <c r="H152" s="1644"/>
      <c r="I152" s="1644"/>
      <c r="J152" s="1644"/>
      <c r="K152" s="1644"/>
      <c r="L152" s="1644"/>
      <c r="M152" s="1644"/>
      <c r="N152" s="1644"/>
      <c r="O152" s="1644"/>
      <c r="P152" s="1644"/>
      <c r="Q152" s="1644"/>
      <c r="R152" s="1644"/>
      <c r="S152" s="1644"/>
      <c r="T152" s="1644"/>
      <c r="U152" s="1644"/>
      <c r="V152" s="1644"/>
      <c r="W152" s="1644"/>
      <c r="X152" s="1644"/>
      <c r="Y152" s="1644"/>
      <c r="Z152" s="1644"/>
      <c r="AA152" s="1644"/>
      <c r="AB152" s="1644"/>
      <c r="AC152" s="1644"/>
      <c r="AD152" s="1644"/>
      <c r="AE152" s="1644"/>
      <c r="AF152" s="1644"/>
      <c r="AG152" s="1644"/>
      <c r="AH152" s="1644"/>
      <c r="AI152" s="1644"/>
      <c r="AJ152" s="1644"/>
      <c r="AK152" s="1644"/>
      <c r="AL152" s="1644"/>
      <c r="AM152" s="1644"/>
      <c r="AN152" s="1644"/>
      <c r="AO152" s="1644"/>
      <c r="AP152" s="1644"/>
      <c r="AQ152" s="1644"/>
      <c r="AR152" s="1644"/>
      <c r="AS152" s="1644"/>
      <c r="AT152" s="1644"/>
      <c r="AU152" s="1644"/>
      <c r="AV152" s="1644"/>
      <c r="AW152" s="1644"/>
      <c r="AX152" s="1644"/>
      <c r="AY152" s="1644"/>
      <c r="AZ152" s="1644"/>
      <c r="BA152" s="1644"/>
      <c r="BB152" s="1644"/>
      <c r="BC152" s="293"/>
      <c r="DG152" s="5"/>
      <c r="DH152" s="182"/>
      <c r="DI152" s="182"/>
      <c r="DJ152" s="182"/>
      <c r="DK152" s="182"/>
      <c r="DL152" s="182"/>
      <c r="DM152" s="182"/>
      <c r="DN152" s="182"/>
      <c r="DO152" s="182"/>
      <c r="DP152" s="182"/>
    </row>
    <row r="153" spans="1:120" s="187" customFormat="1" ht="38.25" customHeight="1">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1541" t="s">
        <v>663</v>
      </c>
      <c r="Z153" s="1541"/>
      <c r="AA153" s="1541"/>
      <c r="AB153" s="1541"/>
      <c r="AC153" s="1541"/>
      <c r="AD153" s="1541"/>
      <c r="AE153" s="1541"/>
      <c r="AF153" s="1541"/>
      <c r="AG153" s="1541"/>
      <c r="AH153" s="1541"/>
      <c r="AI153" s="1541"/>
      <c r="AJ153" s="1541"/>
      <c r="AK153" s="1541"/>
      <c r="AL153" s="1541"/>
      <c r="AM153" s="1541"/>
      <c r="AN153" s="1541"/>
      <c r="AO153" s="1541"/>
      <c r="AP153" s="1541"/>
      <c r="AQ153" s="1541"/>
      <c r="AR153" s="1541"/>
      <c r="AS153" s="1541"/>
      <c r="AT153" s="1541"/>
      <c r="AU153" s="1541"/>
      <c r="AV153" s="1541"/>
      <c r="AW153" s="1541"/>
      <c r="AX153" s="1541"/>
      <c r="AY153" s="293"/>
      <c r="AZ153" s="293"/>
      <c r="BA153" s="293"/>
      <c r="BB153" s="293"/>
      <c r="BC153" s="293"/>
      <c r="DG153" s="5"/>
      <c r="DH153" s="182"/>
      <c r="DI153" s="182"/>
      <c r="DJ153" s="182"/>
      <c r="DK153" s="182"/>
      <c r="DL153" s="182"/>
      <c r="DM153" s="182"/>
      <c r="DN153" s="182"/>
      <c r="DO153" s="182"/>
      <c r="DP153" s="182"/>
    </row>
    <row r="154" spans="1:120" s="187" customFormat="1" ht="19.5" customHeight="1">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609"/>
      <c r="Z154" s="609"/>
      <c r="AA154" s="609"/>
      <c r="AB154" s="609"/>
      <c r="AC154" s="609"/>
      <c r="AD154" s="609"/>
      <c r="AE154" s="609"/>
      <c r="AF154" s="609"/>
      <c r="AG154" s="609"/>
      <c r="AH154" s="609"/>
      <c r="AI154" s="609"/>
      <c r="AJ154" s="609"/>
      <c r="AK154" s="609"/>
      <c r="AL154" s="609"/>
      <c r="AM154" s="609"/>
      <c r="AN154" s="609"/>
      <c r="AO154" s="609"/>
      <c r="AP154" s="609"/>
      <c r="AQ154" s="609"/>
      <c r="AR154" s="609"/>
      <c r="AS154" s="609"/>
      <c r="AT154" s="609"/>
      <c r="AU154" s="609"/>
      <c r="AV154" s="609"/>
      <c r="AW154" s="609"/>
      <c r="AX154" s="609"/>
      <c r="AY154" s="293"/>
      <c r="AZ154" s="293"/>
      <c r="BA154" s="293"/>
      <c r="BB154" s="293"/>
      <c r="BC154" s="293"/>
      <c r="DG154" s="5"/>
      <c r="DH154" s="182"/>
      <c r="DI154" s="182"/>
      <c r="DJ154" s="182"/>
      <c r="DK154" s="182"/>
      <c r="DL154" s="182"/>
      <c r="DM154" s="182"/>
      <c r="DN154" s="182"/>
      <c r="DO154" s="182"/>
      <c r="DP154" s="182"/>
    </row>
    <row r="155" spans="1:120" s="187" customFormat="1" ht="19.5" customHeight="1" thickBot="1">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609"/>
      <c r="Z155" s="609"/>
      <c r="AA155" s="609"/>
      <c r="AB155" s="609"/>
      <c r="AC155" s="609"/>
      <c r="AD155" s="609"/>
      <c r="AE155" s="609"/>
      <c r="AF155" s="609"/>
      <c r="AG155" s="609"/>
      <c r="AH155" s="609"/>
      <c r="AI155" s="609"/>
      <c r="AJ155" s="609"/>
      <c r="AK155" s="609"/>
      <c r="AL155" s="609"/>
      <c r="AM155" s="609"/>
      <c r="AN155" s="609"/>
      <c r="AO155" s="609"/>
      <c r="AP155" s="609"/>
      <c r="AQ155" s="609"/>
      <c r="AR155" s="609"/>
      <c r="AS155" s="609"/>
      <c r="AT155" s="609"/>
      <c r="AU155" s="609"/>
      <c r="AV155" s="609"/>
      <c r="AW155" s="609"/>
      <c r="AX155" s="609"/>
      <c r="AY155" s="293"/>
      <c r="AZ155" s="293"/>
      <c r="BA155" s="293"/>
      <c r="BB155" s="293"/>
      <c r="BC155" s="293"/>
      <c r="DG155" s="5"/>
      <c r="DH155" s="182"/>
      <c r="DI155" s="182"/>
      <c r="DJ155" s="182"/>
      <c r="DK155" s="182"/>
      <c r="DL155" s="182"/>
      <c r="DM155" s="182"/>
      <c r="DN155" s="182"/>
      <c r="DO155" s="182"/>
      <c r="DP155" s="182"/>
    </row>
    <row r="156" spans="1:120" s="71" customFormat="1" ht="21.75" thickBot="1">
      <c r="A156" s="396"/>
      <c r="B156" s="396"/>
      <c r="C156" s="396"/>
      <c r="D156" s="396"/>
      <c r="E156" s="396"/>
      <c r="F156" s="396"/>
      <c r="G156" s="1557" t="s">
        <v>246</v>
      </c>
      <c r="H156" s="1558"/>
      <c r="I156" s="1558"/>
      <c r="J156" s="1558"/>
      <c r="K156" s="1558"/>
      <c r="L156" s="1558"/>
      <c r="M156" s="1558"/>
      <c r="N156" s="1558"/>
      <c r="O156" s="1558"/>
      <c r="P156" s="1559"/>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6"/>
      <c r="AL156" s="396"/>
      <c r="AM156" s="396"/>
      <c r="AN156" s="396"/>
      <c r="AO156" s="396"/>
      <c r="AP156" s="396"/>
      <c r="AQ156" s="396"/>
      <c r="AR156" s="396"/>
      <c r="AS156" s="396"/>
      <c r="AT156" s="396"/>
      <c r="AU156" s="396"/>
      <c r="AV156" s="396"/>
      <c r="AW156" s="396"/>
      <c r="AX156" s="396"/>
      <c r="AY156" s="396"/>
      <c r="AZ156" s="396"/>
      <c r="BA156" s="396"/>
      <c r="BB156" s="396"/>
      <c r="BC156" s="396"/>
      <c r="DF156" s="163"/>
      <c r="DG156" s="163"/>
      <c r="DH156" s="163"/>
      <c r="DI156" s="163"/>
      <c r="DJ156" s="163"/>
      <c r="DK156" s="163"/>
      <c r="DL156" s="163"/>
      <c r="DM156" s="163"/>
      <c r="DN156" s="163"/>
    </row>
    <row r="157" spans="1:120" s="71" customFormat="1" ht="16.5">
      <c r="A157" s="396"/>
      <c r="B157" s="396"/>
      <c r="C157" s="396"/>
      <c r="D157" s="396"/>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6"/>
      <c r="AL157" s="396"/>
      <c r="AM157" s="396"/>
      <c r="AN157" s="396"/>
      <c r="AO157" s="396"/>
      <c r="AP157" s="396"/>
      <c r="AQ157" s="396"/>
      <c r="AR157" s="396"/>
      <c r="AS157" s="396"/>
      <c r="AT157" s="396"/>
      <c r="AU157" s="396"/>
      <c r="AV157" s="396"/>
      <c r="AW157" s="396"/>
      <c r="AX157" s="396"/>
      <c r="AY157" s="396"/>
      <c r="AZ157" s="396"/>
      <c r="BA157" s="396"/>
      <c r="BB157" s="396"/>
      <c r="BC157" s="396"/>
      <c r="DF157" s="163"/>
      <c r="DG157" s="163"/>
      <c r="DH157" s="163"/>
      <c r="DI157" s="163"/>
      <c r="DJ157" s="163"/>
      <c r="DK157" s="163"/>
      <c r="DL157" s="163"/>
      <c r="DM157" s="163"/>
      <c r="DN157" s="163"/>
    </row>
    <row r="158" spans="1:120" s="71" customFormat="1" ht="16.5" customHeight="1">
      <c r="A158" s="396"/>
      <c r="B158" s="396"/>
      <c r="C158" s="396"/>
      <c r="D158" s="396"/>
      <c r="E158" s="396"/>
      <c r="F158" s="396"/>
      <c r="G158" s="396"/>
      <c r="H158" s="1530" t="s">
        <v>378</v>
      </c>
      <c r="I158" s="1530"/>
      <c r="J158" s="1530"/>
      <c r="K158" s="1530"/>
      <c r="L158" s="1530"/>
      <c r="M158" s="1530"/>
      <c r="N158" s="1530"/>
      <c r="O158" s="1530"/>
      <c r="P158" s="1530"/>
      <c r="Q158" s="1530"/>
      <c r="R158" s="1530"/>
      <c r="S158" s="1530"/>
      <c r="T158" s="1530"/>
      <c r="U158" s="1530"/>
      <c r="V158" s="1530"/>
      <c r="W158" s="1530"/>
      <c r="X158" s="1530"/>
      <c r="Y158" s="1530"/>
      <c r="Z158" s="1530"/>
      <c r="AA158" s="1530"/>
      <c r="AB158" s="1530"/>
      <c r="AC158" s="1530"/>
      <c r="AD158" s="1530"/>
      <c r="AE158" s="1530"/>
      <c r="AF158" s="1530"/>
      <c r="AG158" s="1530"/>
      <c r="AH158" s="1530"/>
      <c r="AI158" s="1530"/>
      <c r="AJ158" s="1530"/>
      <c r="AK158" s="1530"/>
      <c r="AL158" s="1530"/>
      <c r="AM158" s="1530"/>
      <c r="AN158" s="1530"/>
      <c r="AO158" s="1530"/>
      <c r="AP158" s="1530"/>
      <c r="AQ158" s="1530"/>
      <c r="AR158" s="1530"/>
      <c r="AS158" s="1530"/>
      <c r="AT158" s="1530"/>
      <c r="AU158" s="1530"/>
      <c r="AV158" s="1530"/>
      <c r="AW158" s="1530"/>
      <c r="AX158" s="1530"/>
      <c r="AY158" s="1530"/>
      <c r="AZ158" s="1530"/>
      <c r="BA158" s="1530"/>
      <c r="BB158" s="1530"/>
      <c r="BC158" s="610"/>
      <c r="BD158" s="188"/>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c r="BY158" s="188"/>
      <c r="BZ158" s="188"/>
      <c r="CA158" s="188"/>
      <c r="CB158" s="188"/>
      <c r="CC158" s="188"/>
      <c r="CD158" s="188"/>
      <c r="CE158" s="188"/>
      <c r="CF158" s="188"/>
      <c r="CG158" s="188"/>
      <c r="CH158" s="188"/>
      <c r="CI158" s="188"/>
      <c r="CJ158" s="188"/>
      <c r="CK158" s="188"/>
      <c r="CL158" s="188"/>
      <c r="CM158" s="188"/>
      <c r="CN158" s="188"/>
      <c r="CO158" s="188"/>
      <c r="CP158" s="188"/>
      <c r="CQ158" s="188"/>
      <c r="CR158" s="188"/>
      <c r="CS158" s="188"/>
      <c r="CT158" s="188"/>
      <c r="CU158" s="188"/>
      <c r="CV158" s="188"/>
      <c r="CW158" s="188"/>
      <c r="CX158" s="188"/>
      <c r="CY158" s="188"/>
      <c r="CZ158" s="188"/>
      <c r="DA158" s="188"/>
      <c r="DF158" s="163"/>
      <c r="DG158" s="163"/>
      <c r="DH158" s="163"/>
      <c r="DI158" s="163"/>
      <c r="DJ158" s="163"/>
      <c r="DK158" s="163"/>
      <c r="DL158" s="163"/>
      <c r="DM158" s="163"/>
      <c r="DN158" s="163"/>
    </row>
    <row r="159" spans="1:120" s="71" customFormat="1" ht="16.5" customHeight="1">
      <c r="A159" s="396"/>
      <c r="B159" s="396"/>
      <c r="C159" s="396"/>
      <c r="D159" s="396"/>
      <c r="E159" s="396"/>
      <c r="F159" s="396"/>
      <c r="G159" s="396"/>
      <c r="H159" s="1530"/>
      <c r="I159" s="1530"/>
      <c r="J159" s="1530"/>
      <c r="K159" s="1530"/>
      <c r="L159" s="1530"/>
      <c r="M159" s="1530"/>
      <c r="N159" s="1530"/>
      <c r="O159" s="1530"/>
      <c r="P159" s="1530"/>
      <c r="Q159" s="1530"/>
      <c r="R159" s="1530"/>
      <c r="S159" s="1530"/>
      <c r="T159" s="1530"/>
      <c r="U159" s="1530"/>
      <c r="V159" s="1530"/>
      <c r="W159" s="1530"/>
      <c r="X159" s="1530"/>
      <c r="Y159" s="1530"/>
      <c r="Z159" s="1530"/>
      <c r="AA159" s="1530"/>
      <c r="AB159" s="1530"/>
      <c r="AC159" s="1530"/>
      <c r="AD159" s="1530"/>
      <c r="AE159" s="1530"/>
      <c r="AF159" s="1530"/>
      <c r="AG159" s="1530"/>
      <c r="AH159" s="1530"/>
      <c r="AI159" s="1530"/>
      <c r="AJ159" s="1530"/>
      <c r="AK159" s="1530"/>
      <c r="AL159" s="1530"/>
      <c r="AM159" s="1530"/>
      <c r="AN159" s="1530"/>
      <c r="AO159" s="1530"/>
      <c r="AP159" s="1530"/>
      <c r="AQ159" s="1530"/>
      <c r="AR159" s="1530"/>
      <c r="AS159" s="1530"/>
      <c r="AT159" s="1530"/>
      <c r="AU159" s="1530"/>
      <c r="AV159" s="1530"/>
      <c r="AW159" s="1530"/>
      <c r="AX159" s="1530"/>
      <c r="AY159" s="1530"/>
      <c r="AZ159" s="1530"/>
      <c r="BA159" s="1530"/>
      <c r="BB159" s="1530"/>
      <c r="BC159" s="610"/>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188"/>
      <c r="CC159" s="188"/>
      <c r="CD159" s="188"/>
      <c r="CE159" s="188"/>
      <c r="CF159" s="188"/>
      <c r="CG159" s="188"/>
      <c r="CH159" s="188"/>
      <c r="CI159" s="188"/>
      <c r="CJ159" s="188"/>
      <c r="CK159" s="188"/>
      <c r="CL159" s="188"/>
      <c r="CM159" s="188"/>
      <c r="CN159" s="188"/>
      <c r="CO159" s="188"/>
      <c r="CP159" s="188"/>
      <c r="CQ159" s="188"/>
      <c r="CR159" s="188"/>
      <c r="CS159" s="188"/>
      <c r="CT159" s="188"/>
      <c r="CU159" s="188"/>
      <c r="CV159" s="188"/>
      <c r="CW159" s="188"/>
      <c r="CX159" s="188"/>
      <c r="CY159" s="188"/>
      <c r="CZ159" s="188"/>
      <c r="DA159" s="188"/>
      <c r="DF159" s="163"/>
      <c r="DG159" s="163"/>
      <c r="DH159" s="163"/>
      <c r="DI159" s="163"/>
      <c r="DJ159" s="163"/>
      <c r="DK159" s="163"/>
      <c r="DL159" s="163"/>
      <c r="DM159" s="163"/>
      <c r="DN159" s="163"/>
    </row>
    <row r="160" spans="1:120" s="71" customFormat="1" ht="16.5" customHeight="1">
      <c r="A160" s="396"/>
      <c r="B160" s="396"/>
      <c r="C160" s="396"/>
      <c r="D160" s="396"/>
      <c r="E160" s="396"/>
      <c r="F160" s="396"/>
      <c r="G160" s="396"/>
      <c r="H160" s="1530"/>
      <c r="I160" s="1530"/>
      <c r="J160" s="1530"/>
      <c r="K160" s="1530"/>
      <c r="L160" s="1530"/>
      <c r="M160" s="1530"/>
      <c r="N160" s="1530"/>
      <c r="O160" s="1530"/>
      <c r="P160" s="1530"/>
      <c r="Q160" s="1530"/>
      <c r="R160" s="1530"/>
      <c r="S160" s="1530"/>
      <c r="T160" s="1530"/>
      <c r="U160" s="1530"/>
      <c r="V160" s="1530"/>
      <c r="W160" s="1530"/>
      <c r="X160" s="1530"/>
      <c r="Y160" s="1530"/>
      <c r="Z160" s="1530"/>
      <c r="AA160" s="1530"/>
      <c r="AB160" s="1530"/>
      <c r="AC160" s="1530"/>
      <c r="AD160" s="1530"/>
      <c r="AE160" s="1530"/>
      <c r="AF160" s="1530"/>
      <c r="AG160" s="1530"/>
      <c r="AH160" s="1530"/>
      <c r="AI160" s="1530"/>
      <c r="AJ160" s="1530"/>
      <c r="AK160" s="1530"/>
      <c r="AL160" s="1530"/>
      <c r="AM160" s="1530"/>
      <c r="AN160" s="1530"/>
      <c r="AO160" s="1530"/>
      <c r="AP160" s="1530"/>
      <c r="AQ160" s="1530"/>
      <c r="AR160" s="1530"/>
      <c r="AS160" s="1530"/>
      <c r="AT160" s="1530"/>
      <c r="AU160" s="1530"/>
      <c r="AV160" s="1530"/>
      <c r="AW160" s="1530"/>
      <c r="AX160" s="1530"/>
      <c r="AY160" s="1530"/>
      <c r="AZ160" s="1530"/>
      <c r="BA160" s="1530"/>
      <c r="BB160" s="1530"/>
      <c r="BC160" s="610"/>
      <c r="BD160" s="188"/>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8"/>
      <c r="BZ160" s="188"/>
      <c r="CA160" s="188"/>
      <c r="CB160" s="188"/>
      <c r="CC160" s="188"/>
      <c r="CD160" s="188"/>
      <c r="CE160" s="188"/>
      <c r="CF160" s="188"/>
      <c r="CG160" s="188"/>
      <c r="CH160" s="188"/>
      <c r="CI160" s="188"/>
      <c r="CJ160" s="188"/>
      <c r="CK160" s="188"/>
      <c r="CL160" s="188"/>
      <c r="CM160" s="188"/>
      <c r="CN160" s="188"/>
      <c r="CO160" s="188"/>
      <c r="CP160" s="188"/>
      <c r="CQ160" s="188"/>
      <c r="CR160" s="188"/>
      <c r="CS160" s="188"/>
      <c r="CT160" s="188"/>
      <c r="CU160" s="188"/>
      <c r="CV160" s="188"/>
      <c r="CW160" s="188"/>
      <c r="CX160" s="188"/>
      <c r="CY160" s="188"/>
      <c r="CZ160" s="188"/>
      <c r="DA160" s="188"/>
      <c r="DF160" s="163"/>
      <c r="DG160" s="163"/>
      <c r="DH160" s="163"/>
      <c r="DI160" s="163"/>
      <c r="DJ160" s="163"/>
      <c r="DK160" s="163"/>
      <c r="DL160" s="163"/>
      <c r="DM160" s="163"/>
      <c r="DN160" s="163"/>
    </row>
    <row r="161" spans="1:118" s="71" customFormat="1" ht="16.5">
      <c r="A161" s="396"/>
      <c r="B161" s="396"/>
      <c r="C161" s="396"/>
      <c r="D161" s="396"/>
      <c r="E161" s="396"/>
      <c r="F161" s="396"/>
      <c r="G161" s="396"/>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6"/>
      <c r="AY161" s="396"/>
      <c r="AZ161" s="396"/>
      <c r="BA161" s="396"/>
      <c r="BB161" s="396"/>
      <c r="BC161" s="396"/>
      <c r="DF161" s="163"/>
      <c r="DG161" s="163"/>
      <c r="DH161" s="163"/>
      <c r="DI161" s="163"/>
      <c r="DJ161" s="163"/>
      <c r="DK161" s="163"/>
      <c r="DL161" s="163"/>
      <c r="DM161" s="163"/>
      <c r="DN161" s="163"/>
    </row>
    <row r="162" spans="1:118" s="72" customFormat="1" ht="43.5" customHeight="1">
      <c r="A162" s="611"/>
      <c r="B162" s="611"/>
      <c r="C162" s="611"/>
      <c r="D162" s="611"/>
      <c r="E162" s="611"/>
      <c r="F162" s="611"/>
      <c r="G162" s="611"/>
      <c r="H162" s="612" t="s">
        <v>356</v>
      </c>
      <c r="I162" s="1539" t="s">
        <v>355</v>
      </c>
      <c r="J162" s="1539"/>
      <c r="K162" s="1539"/>
      <c r="L162" s="1539"/>
      <c r="M162" s="1539"/>
      <c r="N162" s="1539"/>
      <c r="O162" s="1539"/>
      <c r="P162" s="1539"/>
      <c r="Q162" s="1539"/>
      <c r="R162" s="1539"/>
      <c r="S162" s="1539"/>
      <c r="T162" s="1539"/>
      <c r="U162" s="1539"/>
      <c r="V162" s="1539"/>
      <c r="W162" s="1539"/>
      <c r="X162" s="1539"/>
      <c r="Y162" s="1539"/>
      <c r="Z162" s="1539"/>
      <c r="AA162" s="1539"/>
      <c r="AB162" s="1539"/>
      <c r="AC162" s="1539"/>
      <c r="AD162" s="1539"/>
      <c r="AE162" s="1539"/>
      <c r="AF162" s="1539"/>
      <c r="AG162" s="1539"/>
      <c r="AH162" s="1539"/>
      <c r="AI162" s="1539"/>
      <c r="AJ162" s="1539"/>
      <c r="AK162" s="1539"/>
      <c r="AL162" s="1539"/>
      <c r="AM162" s="1539"/>
      <c r="AN162" s="1539"/>
      <c r="AO162" s="1539"/>
      <c r="AP162" s="1539"/>
      <c r="AQ162" s="1539"/>
      <c r="AR162" s="1539"/>
      <c r="AS162" s="1539"/>
      <c r="AT162" s="1539"/>
      <c r="AU162" s="1539"/>
      <c r="AV162" s="1539"/>
      <c r="AW162" s="1539"/>
      <c r="AX162" s="1539"/>
      <c r="AY162" s="1539"/>
      <c r="AZ162" s="1539"/>
      <c r="BA162" s="1539"/>
      <c r="BB162" s="1540"/>
      <c r="BC162" s="613"/>
      <c r="BD162" s="189"/>
      <c r="BE162" s="189"/>
      <c r="BF162" s="189"/>
      <c r="BG162" s="189"/>
      <c r="BH162" s="189"/>
      <c r="BI162" s="189"/>
      <c r="BJ162" s="189"/>
      <c r="BK162" s="189"/>
      <c r="BL162" s="189"/>
      <c r="BM162" s="189"/>
      <c r="BN162" s="189"/>
      <c r="BO162" s="189"/>
      <c r="BP162" s="189"/>
      <c r="BQ162" s="189"/>
      <c r="BR162" s="189"/>
      <c r="BS162" s="189"/>
      <c r="BT162" s="189"/>
      <c r="BU162" s="189"/>
      <c r="BV162" s="189"/>
      <c r="BW162" s="189"/>
      <c r="BX162" s="189"/>
      <c r="BY162" s="189"/>
      <c r="BZ162" s="189"/>
      <c r="CA162" s="189"/>
      <c r="CB162" s="189"/>
      <c r="CC162" s="189"/>
      <c r="CD162" s="189"/>
      <c r="CE162" s="189"/>
      <c r="CF162" s="189"/>
      <c r="CG162" s="189"/>
      <c r="CH162" s="189"/>
      <c r="CI162" s="189"/>
      <c r="CJ162" s="189"/>
      <c r="CK162" s="189"/>
      <c r="CL162" s="189"/>
      <c r="CM162" s="189"/>
      <c r="CN162" s="189"/>
      <c r="CO162" s="189"/>
      <c r="CP162" s="189"/>
      <c r="CQ162" s="189"/>
      <c r="CR162" s="189"/>
      <c r="CS162" s="189"/>
      <c r="CT162" s="189"/>
      <c r="CU162" s="189"/>
      <c r="CV162" s="189"/>
      <c r="CW162" s="189"/>
      <c r="CX162" s="189"/>
      <c r="CY162" s="189"/>
      <c r="CZ162" s="189"/>
      <c r="DA162" s="189"/>
      <c r="DF162" s="190"/>
      <c r="DG162" s="190"/>
      <c r="DH162" s="190"/>
      <c r="DI162" s="190"/>
      <c r="DJ162" s="190"/>
      <c r="DK162" s="190"/>
      <c r="DL162" s="190"/>
      <c r="DM162" s="190"/>
      <c r="DN162" s="190"/>
    </row>
    <row r="163" spans="1:118" s="72" customFormat="1" ht="43.5" customHeight="1">
      <c r="A163" s="611"/>
      <c r="B163" s="611"/>
      <c r="C163" s="611"/>
      <c r="D163" s="611"/>
      <c r="E163" s="611"/>
      <c r="F163" s="611"/>
      <c r="G163" s="611"/>
      <c r="H163" s="613" t="s">
        <v>356</v>
      </c>
      <c r="I163" s="1525" t="s">
        <v>357</v>
      </c>
      <c r="J163" s="1525"/>
      <c r="K163" s="1525"/>
      <c r="L163" s="1525"/>
      <c r="M163" s="1525"/>
      <c r="N163" s="1525"/>
      <c r="O163" s="1525"/>
      <c r="P163" s="1525"/>
      <c r="Q163" s="1525"/>
      <c r="R163" s="1525"/>
      <c r="S163" s="1525"/>
      <c r="T163" s="1525"/>
      <c r="U163" s="1525"/>
      <c r="V163" s="1525"/>
      <c r="W163" s="1525"/>
      <c r="X163" s="1525"/>
      <c r="Y163" s="1525"/>
      <c r="Z163" s="1525"/>
      <c r="AA163" s="1525"/>
      <c r="AB163" s="1525"/>
      <c r="AC163" s="1525"/>
      <c r="AD163" s="1525"/>
      <c r="AE163" s="1525"/>
      <c r="AF163" s="1525"/>
      <c r="AG163" s="1525"/>
      <c r="AH163" s="1525"/>
      <c r="AI163" s="1525"/>
      <c r="AJ163" s="1525"/>
      <c r="AK163" s="1525"/>
      <c r="AL163" s="1525"/>
      <c r="AM163" s="1525"/>
      <c r="AN163" s="1525"/>
      <c r="AO163" s="1525"/>
      <c r="AP163" s="1525"/>
      <c r="AQ163" s="1525"/>
      <c r="AR163" s="1525"/>
      <c r="AS163" s="1525"/>
      <c r="AT163" s="1525"/>
      <c r="AU163" s="1525"/>
      <c r="AV163" s="1525"/>
      <c r="AW163" s="1525"/>
      <c r="AX163" s="1525"/>
      <c r="AY163" s="1525"/>
      <c r="AZ163" s="1525"/>
      <c r="BA163" s="1525"/>
      <c r="BB163" s="1526"/>
      <c r="BC163" s="613"/>
      <c r="BD163" s="189"/>
      <c r="BE163" s="189"/>
      <c r="BF163" s="189"/>
      <c r="BG163" s="189"/>
      <c r="BH163" s="189"/>
      <c r="BI163" s="189"/>
      <c r="BJ163" s="189"/>
      <c r="BK163" s="189"/>
      <c r="BL163" s="189"/>
      <c r="BM163" s="189"/>
      <c r="BN163" s="189"/>
      <c r="BO163" s="189"/>
      <c r="BP163" s="189"/>
      <c r="BQ163" s="189"/>
      <c r="BR163" s="189"/>
      <c r="BS163" s="189"/>
      <c r="BT163" s="189"/>
      <c r="BU163" s="189"/>
      <c r="BV163" s="189"/>
      <c r="BW163" s="189"/>
      <c r="BX163" s="189"/>
      <c r="BY163" s="189"/>
      <c r="BZ163" s="189"/>
      <c r="CA163" s="189"/>
      <c r="CB163" s="189"/>
      <c r="CC163" s="189"/>
      <c r="CD163" s="189"/>
      <c r="CE163" s="189"/>
      <c r="CF163" s="189"/>
      <c r="CG163" s="189"/>
      <c r="CH163" s="189"/>
      <c r="CI163" s="189"/>
      <c r="CJ163" s="189"/>
      <c r="CK163" s="189"/>
      <c r="CL163" s="189"/>
      <c r="CM163" s="189"/>
      <c r="CN163" s="189"/>
      <c r="CO163" s="189"/>
      <c r="CP163" s="189"/>
      <c r="CQ163" s="189"/>
      <c r="CR163" s="189"/>
      <c r="CS163" s="189"/>
      <c r="CT163" s="189"/>
      <c r="CU163" s="189"/>
      <c r="CV163" s="189"/>
      <c r="CW163" s="189"/>
      <c r="CX163" s="189"/>
      <c r="CY163" s="189"/>
      <c r="CZ163" s="189"/>
      <c r="DA163" s="189"/>
      <c r="DB163" s="191"/>
      <c r="DF163" s="190"/>
      <c r="DG163" s="190"/>
      <c r="DH163" s="190"/>
      <c r="DI163" s="190"/>
      <c r="DJ163" s="190"/>
      <c r="DK163" s="190"/>
      <c r="DL163" s="190"/>
      <c r="DM163" s="190"/>
      <c r="DN163" s="190"/>
    </row>
    <row r="164" spans="1:118" s="72" customFormat="1" ht="43.5" customHeight="1">
      <c r="A164" s="611"/>
      <c r="B164" s="611"/>
      <c r="C164" s="611"/>
      <c r="D164" s="611"/>
      <c r="E164" s="611"/>
      <c r="F164" s="611"/>
      <c r="G164" s="611"/>
      <c r="H164" s="613" t="str">
        <f>IF(I164="","","・")</f>
        <v/>
      </c>
      <c r="I164" s="1525" t="str">
        <f>IFERROR(VLOOKUP("1添付",計算用資料!$F$172:$G$185,2,FALSE),"")</f>
        <v/>
      </c>
      <c r="J164" s="1525"/>
      <c r="K164" s="1525"/>
      <c r="L164" s="1525"/>
      <c r="M164" s="1525"/>
      <c r="N164" s="1525"/>
      <c r="O164" s="1525"/>
      <c r="P164" s="1525"/>
      <c r="Q164" s="1525"/>
      <c r="R164" s="1525"/>
      <c r="S164" s="1525"/>
      <c r="T164" s="1525"/>
      <c r="U164" s="1525"/>
      <c r="V164" s="1525"/>
      <c r="W164" s="1525"/>
      <c r="X164" s="1525"/>
      <c r="Y164" s="1525"/>
      <c r="Z164" s="1525"/>
      <c r="AA164" s="1525"/>
      <c r="AB164" s="1525"/>
      <c r="AC164" s="1525"/>
      <c r="AD164" s="1525"/>
      <c r="AE164" s="1525"/>
      <c r="AF164" s="1525"/>
      <c r="AG164" s="1525"/>
      <c r="AH164" s="1525"/>
      <c r="AI164" s="1525"/>
      <c r="AJ164" s="1525"/>
      <c r="AK164" s="1525"/>
      <c r="AL164" s="1525"/>
      <c r="AM164" s="1525"/>
      <c r="AN164" s="1525"/>
      <c r="AO164" s="1525"/>
      <c r="AP164" s="1525"/>
      <c r="AQ164" s="1525"/>
      <c r="AR164" s="1525"/>
      <c r="AS164" s="1525"/>
      <c r="AT164" s="1525"/>
      <c r="AU164" s="1525"/>
      <c r="AV164" s="1525"/>
      <c r="AW164" s="1525"/>
      <c r="AX164" s="1525"/>
      <c r="AY164" s="1525"/>
      <c r="AZ164" s="1525"/>
      <c r="BA164" s="1525"/>
      <c r="BB164" s="1526"/>
      <c r="BC164" s="613"/>
      <c r="BD164" s="189"/>
      <c r="BE164" s="189"/>
      <c r="BF164" s="189"/>
      <c r="BG164" s="189"/>
      <c r="BH164" s="189"/>
      <c r="BI164" s="189"/>
      <c r="BJ164" s="189"/>
      <c r="BK164" s="189"/>
      <c r="BL164" s="189"/>
      <c r="BM164" s="189"/>
      <c r="BN164" s="189"/>
      <c r="BO164" s="189"/>
      <c r="BP164" s="189"/>
      <c r="BQ164" s="189"/>
      <c r="BR164" s="189"/>
      <c r="BS164" s="189"/>
      <c r="BT164" s="189"/>
      <c r="BU164" s="189"/>
      <c r="BV164" s="189"/>
      <c r="BW164" s="189"/>
      <c r="BX164" s="189"/>
      <c r="BY164" s="189"/>
      <c r="BZ164" s="189"/>
      <c r="CA164" s="189"/>
      <c r="CB164" s="189"/>
      <c r="CC164" s="189"/>
      <c r="CD164" s="189"/>
      <c r="CE164" s="189"/>
      <c r="CF164" s="189"/>
      <c r="CG164" s="189"/>
      <c r="CH164" s="189"/>
      <c r="CI164" s="189"/>
      <c r="CJ164" s="189"/>
      <c r="CK164" s="189"/>
      <c r="CL164" s="189"/>
      <c r="CM164" s="189"/>
      <c r="CN164" s="189"/>
      <c r="CO164" s="189"/>
      <c r="CP164" s="189"/>
      <c r="CQ164" s="189"/>
      <c r="CR164" s="189"/>
      <c r="CS164" s="189"/>
      <c r="CT164" s="189"/>
      <c r="CU164" s="189"/>
      <c r="CV164" s="189"/>
      <c r="CW164" s="189"/>
      <c r="CX164" s="189"/>
      <c r="CY164" s="189"/>
      <c r="CZ164" s="189"/>
      <c r="DA164" s="189"/>
      <c r="DF164" s="190"/>
      <c r="DG164" s="190"/>
      <c r="DH164" s="190"/>
      <c r="DI164" s="190"/>
      <c r="DJ164" s="190"/>
      <c r="DK164" s="190"/>
      <c r="DL164" s="190"/>
      <c r="DM164" s="190"/>
      <c r="DN164" s="190"/>
    </row>
    <row r="165" spans="1:118" s="72" customFormat="1" ht="43.5" customHeight="1">
      <c r="A165" s="611"/>
      <c r="B165" s="611"/>
      <c r="C165" s="611"/>
      <c r="D165" s="611"/>
      <c r="E165" s="611"/>
      <c r="F165" s="611"/>
      <c r="G165" s="611"/>
      <c r="H165" s="613" t="str">
        <f t="shared" ref="H165:H175" si="0">IF(I165="","","・")</f>
        <v/>
      </c>
      <c r="I165" s="1525" t="str">
        <f>IFERROR(VLOOKUP("2添付",計算用資料!$F$172:$G$185,2,FALSE),"")</f>
        <v/>
      </c>
      <c r="J165" s="1525"/>
      <c r="K165" s="1525"/>
      <c r="L165" s="1525"/>
      <c r="M165" s="1525"/>
      <c r="N165" s="1525"/>
      <c r="O165" s="1525"/>
      <c r="P165" s="1525"/>
      <c r="Q165" s="1525"/>
      <c r="R165" s="1525"/>
      <c r="S165" s="1525"/>
      <c r="T165" s="1525"/>
      <c r="U165" s="1525"/>
      <c r="V165" s="1525"/>
      <c r="W165" s="1525"/>
      <c r="X165" s="1525"/>
      <c r="Y165" s="1525"/>
      <c r="Z165" s="1525"/>
      <c r="AA165" s="1525"/>
      <c r="AB165" s="1525"/>
      <c r="AC165" s="1525"/>
      <c r="AD165" s="1525"/>
      <c r="AE165" s="1525"/>
      <c r="AF165" s="1525"/>
      <c r="AG165" s="1525"/>
      <c r="AH165" s="1525"/>
      <c r="AI165" s="1525"/>
      <c r="AJ165" s="1525"/>
      <c r="AK165" s="1525"/>
      <c r="AL165" s="1525"/>
      <c r="AM165" s="1525"/>
      <c r="AN165" s="1525"/>
      <c r="AO165" s="1525"/>
      <c r="AP165" s="1525"/>
      <c r="AQ165" s="1525"/>
      <c r="AR165" s="1525"/>
      <c r="AS165" s="1525"/>
      <c r="AT165" s="1525"/>
      <c r="AU165" s="1525"/>
      <c r="AV165" s="1525"/>
      <c r="AW165" s="1525"/>
      <c r="AX165" s="1525"/>
      <c r="AY165" s="1525"/>
      <c r="AZ165" s="1525"/>
      <c r="BA165" s="1525"/>
      <c r="BB165" s="1526"/>
      <c r="BC165" s="613"/>
      <c r="BD165" s="189"/>
      <c r="BE165" s="189"/>
      <c r="BF165" s="189"/>
      <c r="BG165" s="189"/>
      <c r="BH165" s="189"/>
      <c r="BI165" s="189"/>
      <c r="BJ165" s="189"/>
      <c r="BK165" s="189"/>
      <c r="BL165" s="189"/>
      <c r="BM165" s="189"/>
      <c r="BN165" s="189"/>
      <c r="BO165" s="189"/>
      <c r="BP165" s="189"/>
      <c r="BQ165" s="189"/>
      <c r="BR165" s="189"/>
      <c r="BS165" s="189"/>
      <c r="BT165" s="189"/>
      <c r="BU165" s="189"/>
      <c r="BV165" s="189"/>
      <c r="BW165" s="189"/>
      <c r="BX165" s="189"/>
      <c r="BY165" s="189"/>
      <c r="BZ165" s="189"/>
      <c r="CA165" s="189"/>
      <c r="CB165" s="189"/>
      <c r="CC165" s="189"/>
      <c r="CD165" s="189"/>
      <c r="CE165" s="189"/>
      <c r="CF165" s="189"/>
      <c r="CG165" s="189"/>
      <c r="CH165" s="189"/>
      <c r="CI165" s="189"/>
      <c r="CJ165" s="189"/>
      <c r="CK165" s="189"/>
      <c r="CL165" s="189"/>
      <c r="CM165" s="189"/>
      <c r="CN165" s="189"/>
      <c r="CO165" s="189"/>
      <c r="CP165" s="189"/>
      <c r="CQ165" s="189"/>
      <c r="CR165" s="189"/>
      <c r="CS165" s="189"/>
      <c r="CT165" s="189"/>
      <c r="CU165" s="189"/>
      <c r="CV165" s="189"/>
      <c r="CW165" s="189"/>
      <c r="CX165" s="189"/>
      <c r="CY165" s="189"/>
      <c r="CZ165" s="189"/>
      <c r="DA165" s="189"/>
      <c r="DF165" s="190"/>
      <c r="DG165" s="190"/>
      <c r="DH165" s="190"/>
      <c r="DI165" s="190"/>
      <c r="DJ165" s="190"/>
      <c r="DK165" s="190"/>
      <c r="DL165" s="190"/>
      <c r="DM165" s="190"/>
      <c r="DN165" s="190"/>
    </row>
    <row r="166" spans="1:118" s="72" customFormat="1" ht="43.5" customHeight="1">
      <c r="A166" s="611"/>
      <c r="B166" s="611"/>
      <c r="C166" s="611"/>
      <c r="D166" s="611"/>
      <c r="E166" s="611"/>
      <c r="F166" s="611"/>
      <c r="G166" s="611"/>
      <c r="H166" s="613" t="str">
        <f t="shared" si="0"/>
        <v/>
      </c>
      <c r="I166" s="1525" t="str">
        <f>IFERROR(VLOOKUP("3添付",計算用資料!$F$172:$G$185,2,FALSE),"")</f>
        <v/>
      </c>
      <c r="J166" s="1525"/>
      <c r="K166" s="1525"/>
      <c r="L166" s="1525"/>
      <c r="M166" s="1525"/>
      <c r="N166" s="1525"/>
      <c r="O166" s="1525"/>
      <c r="P166" s="1525"/>
      <c r="Q166" s="1525"/>
      <c r="R166" s="1525"/>
      <c r="S166" s="1525"/>
      <c r="T166" s="1525"/>
      <c r="U166" s="1525"/>
      <c r="V166" s="1525"/>
      <c r="W166" s="1525"/>
      <c r="X166" s="1525"/>
      <c r="Y166" s="1525"/>
      <c r="Z166" s="1525"/>
      <c r="AA166" s="1525"/>
      <c r="AB166" s="1525"/>
      <c r="AC166" s="1525"/>
      <c r="AD166" s="1525"/>
      <c r="AE166" s="1525"/>
      <c r="AF166" s="1525"/>
      <c r="AG166" s="1525"/>
      <c r="AH166" s="1525"/>
      <c r="AI166" s="1525"/>
      <c r="AJ166" s="1525"/>
      <c r="AK166" s="1525"/>
      <c r="AL166" s="1525"/>
      <c r="AM166" s="1525"/>
      <c r="AN166" s="1525"/>
      <c r="AO166" s="1525"/>
      <c r="AP166" s="1525"/>
      <c r="AQ166" s="1525"/>
      <c r="AR166" s="1525"/>
      <c r="AS166" s="1525"/>
      <c r="AT166" s="1525"/>
      <c r="AU166" s="1525"/>
      <c r="AV166" s="1525"/>
      <c r="AW166" s="1525"/>
      <c r="AX166" s="1525"/>
      <c r="AY166" s="1525"/>
      <c r="AZ166" s="1525"/>
      <c r="BA166" s="1525"/>
      <c r="BB166" s="1526"/>
      <c r="BC166" s="613"/>
      <c r="BD166" s="189"/>
      <c r="BE166" s="189"/>
      <c r="BF166" s="189"/>
      <c r="BG166" s="189"/>
      <c r="BH166" s="189"/>
      <c r="BI166" s="189"/>
      <c r="BJ166" s="189"/>
      <c r="BK166" s="189"/>
      <c r="BL166" s="189"/>
      <c r="BM166" s="189"/>
      <c r="BN166" s="189"/>
      <c r="BO166" s="189"/>
      <c r="BP166" s="189"/>
      <c r="BQ166" s="189"/>
      <c r="BR166" s="189"/>
      <c r="BS166" s="189"/>
      <c r="BT166" s="189"/>
      <c r="BU166" s="189"/>
      <c r="BV166" s="189"/>
      <c r="BW166" s="189"/>
      <c r="BX166" s="189"/>
      <c r="BY166" s="189"/>
      <c r="BZ166" s="189"/>
      <c r="CA166" s="189"/>
      <c r="CB166" s="189"/>
      <c r="CC166" s="189"/>
      <c r="CD166" s="189"/>
      <c r="CE166" s="189"/>
      <c r="CF166" s="189"/>
      <c r="CG166" s="189"/>
      <c r="CH166" s="189"/>
      <c r="CI166" s="189"/>
      <c r="CJ166" s="189"/>
      <c r="CK166" s="189"/>
      <c r="CL166" s="189"/>
      <c r="CM166" s="189"/>
      <c r="CN166" s="189"/>
      <c r="CO166" s="189"/>
      <c r="CP166" s="189"/>
      <c r="CQ166" s="189"/>
      <c r="CR166" s="189"/>
      <c r="CS166" s="189"/>
      <c r="CT166" s="189"/>
      <c r="CU166" s="189"/>
      <c r="CV166" s="189"/>
      <c r="CW166" s="189"/>
      <c r="CX166" s="189"/>
      <c r="CY166" s="189"/>
      <c r="CZ166" s="189"/>
      <c r="DA166" s="189"/>
      <c r="DF166" s="190"/>
      <c r="DG166" s="190"/>
      <c r="DH166" s="190"/>
      <c r="DI166" s="190"/>
      <c r="DJ166" s="190"/>
      <c r="DK166" s="190"/>
      <c r="DL166" s="190"/>
      <c r="DM166" s="190"/>
      <c r="DN166" s="190"/>
    </row>
    <row r="167" spans="1:118" s="72" customFormat="1" ht="43.5" customHeight="1">
      <c r="A167" s="611"/>
      <c r="B167" s="611"/>
      <c r="C167" s="611"/>
      <c r="D167" s="611"/>
      <c r="E167" s="611"/>
      <c r="F167" s="611"/>
      <c r="G167" s="611"/>
      <c r="H167" s="613" t="str">
        <f t="shared" si="0"/>
        <v/>
      </c>
      <c r="I167" s="1525" t="str">
        <f>IFERROR(VLOOKUP("4添付",計算用資料!$F$172:$G$185,2,FALSE),"")</f>
        <v/>
      </c>
      <c r="J167" s="1525"/>
      <c r="K167" s="1525"/>
      <c r="L167" s="1525"/>
      <c r="M167" s="1525"/>
      <c r="N167" s="1525"/>
      <c r="O167" s="1525"/>
      <c r="P167" s="1525"/>
      <c r="Q167" s="1525"/>
      <c r="R167" s="1525"/>
      <c r="S167" s="1525"/>
      <c r="T167" s="1525"/>
      <c r="U167" s="1525"/>
      <c r="V167" s="1525"/>
      <c r="W167" s="1525"/>
      <c r="X167" s="1525"/>
      <c r="Y167" s="1525"/>
      <c r="Z167" s="1525"/>
      <c r="AA167" s="1525"/>
      <c r="AB167" s="1525"/>
      <c r="AC167" s="1525"/>
      <c r="AD167" s="1525"/>
      <c r="AE167" s="1525"/>
      <c r="AF167" s="1525"/>
      <c r="AG167" s="1525"/>
      <c r="AH167" s="1525"/>
      <c r="AI167" s="1525"/>
      <c r="AJ167" s="1525"/>
      <c r="AK167" s="1525"/>
      <c r="AL167" s="1525"/>
      <c r="AM167" s="1525"/>
      <c r="AN167" s="1525"/>
      <c r="AO167" s="1525"/>
      <c r="AP167" s="1525"/>
      <c r="AQ167" s="1525"/>
      <c r="AR167" s="1525"/>
      <c r="AS167" s="1525"/>
      <c r="AT167" s="1525"/>
      <c r="AU167" s="1525"/>
      <c r="AV167" s="1525"/>
      <c r="AW167" s="1525"/>
      <c r="AX167" s="1525"/>
      <c r="AY167" s="1525"/>
      <c r="AZ167" s="1525"/>
      <c r="BA167" s="1525"/>
      <c r="BB167" s="1526"/>
      <c r="BC167" s="613"/>
      <c r="BD167" s="189"/>
      <c r="BE167" s="189"/>
      <c r="BF167" s="189"/>
      <c r="BG167" s="189"/>
      <c r="BH167" s="189"/>
      <c r="BI167" s="189"/>
      <c r="BJ167" s="189"/>
      <c r="BK167" s="189"/>
      <c r="BL167" s="189"/>
      <c r="BM167" s="189"/>
      <c r="BN167" s="189"/>
      <c r="BO167" s="189"/>
      <c r="BP167" s="189"/>
      <c r="BQ167" s="189"/>
      <c r="BR167" s="189"/>
      <c r="BS167" s="189"/>
      <c r="BT167" s="189"/>
      <c r="BU167" s="189"/>
      <c r="BV167" s="189"/>
      <c r="BW167" s="189"/>
      <c r="BX167" s="189"/>
      <c r="BY167" s="189"/>
      <c r="BZ167" s="189"/>
      <c r="CA167" s="189"/>
      <c r="CB167" s="189"/>
      <c r="CC167" s="189"/>
      <c r="CD167" s="189"/>
      <c r="CE167" s="189"/>
      <c r="CF167" s="189"/>
      <c r="CG167" s="189"/>
      <c r="CH167" s="189"/>
      <c r="CI167" s="189"/>
      <c r="CJ167" s="189"/>
      <c r="CK167" s="189"/>
      <c r="CL167" s="189"/>
      <c r="CM167" s="189"/>
      <c r="CN167" s="189"/>
      <c r="CO167" s="189"/>
      <c r="CP167" s="189"/>
      <c r="CQ167" s="189"/>
      <c r="CR167" s="189"/>
      <c r="CS167" s="189"/>
      <c r="CT167" s="189"/>
      <c r="CU167" s="189"/>
      <c r="CV167" s="189"/>
      <c r="CW167" s="189"/>
      <c r="CX167" s="189"/>
      <c r="CY167" s="189"/>
      <c r="CZ167" s="189"/>
      <c r="DA167" s="189"/>
      <c r="DF167" s="190"/>
      <c r="DG167" s="190"/>
      <c r="DH167" s="190"/>
      <c r="DI167" s="190"/>
      <c r="DJ167" s="190"/>
      <c r="DK167" s="190"/>
      <c r="DL167" s="190"/>
      <c r="DM167" s="190"/>
      <c r="DN167" s="190"/>
    </row>
    <row r="168" spans="1:118" s="72" customFormat="1" ht="43.5" customHeight="1">
      <c r="A168" s="611"/>
      <c r="B168" s="611"/>
      <c r="C168" s="611"/>
      <c r="D168" s="611"/>
      <c r="E168" s="611"/>
      <c r="F168" s="611"/>
      <c r="G168" s="611"/>
      <c r="H168" s="613" t="str">
        <f t="shared" si="0"/>
        <v/>
      </c>
      <c r="I168" s="1525" t="str">
        <f>IFERROR(VLOOKUP("5添付",計算用資料!$F$172:$G$185,2,FALSE),"")</f>
        <v/>
      </c>
      <c r="J168" s="1525"/>
      <c r="K168" s="1525"/>
      <c r="L168" s="1525"/>
      <c r="M168" s="1525"/>
      <c r="N168" s="1525"/>
      <c r="O168" s="1525"/>
      <c r="P168" s="1525"/>
      <c r="Q168" s="1525"/>
      <c r="R168" s="1525"/>
      <c r="S168" s="1525"/>
      <c r="T168" s="1525"/>
      <c r="U168" s="1525"/>
      <c r="V168" s="1525"/>
      <c r="W168" s="1525"/>
      <c r="X168" s="1525"/>
      <c r="Y168" s="1525"/>
      <c r="Z168" s="1525"/>
      <c r="AA168" s="1525"/>
      <c r="AB168" s="1525"/>
      <c r="AC168" s="1525"/>
      <c r="AD168" s="1525"/>
      <c r="AE168" s="1525"/>
      <c r="AF168" s="1525"/>
      <c r="AG168" s="1525"/>
      <c r="AH168" s="1525"/>
      <c r="AI168" s="1525"/>
      <c r="AJ168" s="1525"/>
      <c r="AK168" s="1525"/>
      <c r="AL168" s="1525"/>
      <c r="AM168" s="1525"/>
      <c r="AN168" s="1525"/>
      <c r="AO168" s="1525"/>
      <c r="AP168" s="1525"/>
      <c r="AQ168" s="1525"/>
      <c r="AR168" s="1525"/>
      <c r="AS168" s="1525"/>
      <c r="AT168" s="1525"/>
      <c r="AU168" s="1525"/>
      <c r="AV168" s="1525"/>
      <c r="AW168" s="1525"/>
      <c r="AX168" s="1525"/>
      <c r="AY168" s="1525"/>
      <c r="AZ168" s="1525"/>
      <c r="BA168" s="1525"/>
      <c r="BB168" s="1526"/>
      <c r="BC168" s="613"/>
      <c r="BD168" s="189"/>
      <c r="BE168" s="189"/>
      <c r="BF168" s="189"/>
      <c r="BG168" s="189"/>
      <c r="BH168" s="189"/>
      <c r="BI168" s="189"/>
      <c r="BJ168" s="189"/>
      <c r="BK168" s="189"/>
      <c r="BL168" s="189"/>
      <c r="BM168" s="189"/>
      <c r="BN168" s="189"/>
      <c r="BO168" s="189"/>
      <c r="BP168" s="189"/>
      <c r="BQ168" s="189"/>
      <c r="BR168" s="189"/>
      <c r="BS168" s="189"/>
      <c r="BT168" s="189"/>
      <c r="BU168" s="189"/>
      <c r="BV168" s="189"/>
      <c r="BW168" s="189"/>
      <c r="BX168" s="189"/>
      <c r="BY168" s="189"/>
      <c r="BZ168" s="189"/>
      <c r="CA168" s="189"/>
      <c r="CB168" s="189"/>
      <c r="CC168" s="189"/>
      <c r="CD168" s="189"/>
      <c r="CE168" s="189"/>
      <c r="CF168" s="189"/>
      <c r="CG168" s="189"/>
      <c r="CH168" s="189"/>
      <c r="CI168" s="189"/>
      <c r="CJ168" s="189"/>
      <c r="CK168" s="189"/>
      <c r="CL168" s="189"/>
      <c r="CM168" s="189"/>
      <c r="CN168" s="189"/>
      <c r="CO168" s="189"/>
      <c r="CP168" s="189"/>
      <c r="CQ168" s="189"/>
      <c r="CR168" s="189"/>
      <c r="CS168" s="189"/>
      <c r="CT168" s="189"/>
      <c r="CU168" s="189"/>
      <c r="CV168" s="189"/>
      <c r="CW168" s="189"/>
      <c r="CX168" s="189"/>
      <c r="CY168" s="189"/>
      <c r="CZ168" s="189"/>
      <c r="DA168" s="189"/>
      <c r="DF168" s="190"/>
      <c r="DG168" s="190"/>
      <c r="DH168" s="190"/>
      <c r="DI168" s="190"/>
      <c r="DJ168" s="190"/>
      <c r="DK168" s="190"/>
      <c r="DL168" s="190"/>
      <c r="DM168" s="190"/>
      <c r="DN168" s="190"/>
    </row>
    <row r="169" spans="1:118" s="72" customFormat="1" ht="43.5" customHeight="1">
      <c r="A169" s="611"/>
      <c r="B169" s="611"/>
      <c r="C169" s="611"/>
      <c r="D169" s="611"/>
      <c r="E169" s="611"/>
      <c r="F169" s="611"/>
      <c r="G169" s="611"/>
      <c r="H169" s="613" t="str">
        <f t="shared" si="0"/>
        <v/>
      </c>
      <c r="I169" s="1525" t="str">
        <f>IFERROR(VLOOKUP("6添付",計算用資料!$F$172:$G$185,2,FALSE),"")</f>
        <v/>
      </c>
      <c r="J169" s="1525"/>
      <c r="K169" s="1525"/>
      <c r="L169" s="1525"/>
      <c r="M169" s="1525"/>
      <c r="N169" s="1525"/>
      <c r="O169" s="1525"/>
      <c r="P169" s="1525"/>
      <c r="Q169" s="1525"/>
      <c r="R169" s="1525"/>
      <c r="S169" s="1525"/>
      <c r="T169" s="1525"/>
      <c r="U169" s="1525"/>
      <c r="V169" s="1525"/>
      <c r="W169" s="1525"/>
      <c r="X169" s="1525"/>
      <c r="Y169" s="1525"/>
      <c r="Z169" s="1525"/>
      <c r="AA169" s="1525"/>
      <c r="AB169" s="1525"/>
      <c r="AC169" s="1525"/>
      <c r="AD169" s="1525"/>
      <c r="AE169" s="1525"/>
      <c r="AF169" s="1525"/>
      <c r="AG169" s="1525"/>
      <c r="AH169" s="1525"/>
      <c r="AI169" s="1525"/>
      <c r="AJ169" s="1525"/>
      <c r="AK169" s="1525"/>
      <c r="AL169" s="1525"/>
      <c r="AM169" s="1525"/>
      <c r="AN169" s="1525"/>
      <c r="AO169" s="1525"/>
      <c r="AP169" s="1525"/>
      <c r="AQ169" s="1525"/>
      <c r="AR169" s="1525"/>
      <c r="AS169" s="1525"/>
      <c r="AT169" s="1525"/>
      <c r="AU169" s="1525"/>
      <c r="AV169" s="1525"/>
      <c r="AW169" s="1525"/>
      <c r="AX169" s="1525"/>
      <c r="AY169" s="1525"/>
      <c r="AZ169" s="1525"/>
      <c r="BA169" s="1525"/>
      <c r="BB169" s="1526"/>
      <c r="BC169" s="613"/>
      <c r="BD169" s="189"/>
      <c r="BE169" s="189"/>
      <c r="BF169" s="189"/>
      <c r="BG169" s="189"/>
      <c r="BH169" s="189"/>
      <c r="BI169" s="189"/>
      <c r="BJ169" s="189"/>
      <c r="BK169" s="189"/>
      <c r="BL169" s="189"/>
      <c r="BM169" s="189"/>
      <c r="BN169" s="189"/>
      <c r="BO169" s="189"/>
      <c r="BP169" s="189"/>
      <c r="BQ169" s="189"/>
      <c r="BR169" s="189"/>
      <c r="BS169" s="189"/>
      <c r="BT169" s="189"/>
      <c r="BU169" s="189"/>
      <c r="BV169" s="189"/>
      <c r="BW169" s="189"/>
      <c r="BX169" s="189"/>
      <c r="BY169" s="189"/>
      <c r="BZ169" s="189"/>
      <c r="CA169" s="189"/>
      <c r="CB169" s="189"/>
      <c r="CC169" s="189"/>
      <c r="CD169" s="189"/>
      <c r="CE169" s="189"/>
      <c r="CF169" s="189"/>
      <c r="CG169" s="189"/>
      <c r="CH169" s="189"/>
      <c r="CI169" s="189"/>
      <c r="CJ169" s="189"/>
      <c r="CK169" s="189"/>
      <c r="CL169" s="189"/>
      <c r="CM169" s="189"/>
      <c r="CN169" s="189"/>
      <c r="CO169" s="189"/>
      <c r="CP169" s="189"/>
      <c r="CQ169" s="189"/>
      <c r="CR169" s="189"/>
      <c r="CS169" s="189"/>
      <c r="CT169" s="189"/>
      <c r="CU169" s="189"/>
      <c r="CV169" s="189"/>
      <c r="CW169" s="189"/>
      <c r="CX169" s="189"/>
      <c r="CY169" s="189"/>
      <c r="CZ169" s="189"/>
      <c r="DA169" s="189"/>
      <c r="DF169" s="190"/>
      <c r="DG169" s="190"/>
      <c r="DH169" s="190"/>
      <c r="DI169" s="190"/>
      <c r="DJ169" s="190"/>
      <c r="DK169" s="190"/>
      <c r="DL169" s="190"/>
      <c r="DM169" s="190"/>
      <c r="DN169" s="190"/>
    </row>
    <row r="170" spans="1:118" s="72" customFormat="1" ht="43.5" customHeight="1">
      <c r="A170" s="611"/>
      <c r="B170" s="611"/>
      <c r="C170" s="611"/>
      <c r="D170" s="611"/>
      <c r="E170" s="611"/>
      <c r="F170" s="611"/>
      <c r="G170" s="611"/>
      <c r="H170" s="613" t="str">
        <f t="shared" si="0"/>
        <v/>
      </c>
      <c r="I170" s="1525" t="str">
        <f>IFERROR(VLOOKUP("7添付",計算用資料!$F$172:$G$185,2,FALSE),"")</f>
        <v/>
      </c>
      <c r="J170" s="1525"/>
      <c r="K170" s="1525"/>
      <c r="L170" s="1525"/>
      <c r="M170" s="1525"/>
      <c r="N170" s="1525"/>
      <c r="O170" s="1525"/>
      <c r="P170" s="1525"/>
      <c r="Q170" s="1525"/>
      <c r="R170" s="1525"/>
      <c r="S170" s="1525"/>
      <c r="T170" s="1525"/>
      <c r="U170" s="1525"/>
      <c r="V170" s="1525"/>
      <c r="W170" s="1525"/>
      <c r="X170" s="1525"/>
      <c r="Y170" s="1525"/>
      <c r="Z170" s="1525"/>
      <c r="AA170" s="1525"/>
      <c r="AB170" s="1525"/>
      <c r="AC170" s="1525"/>
      <c r="AD170" s="1525"/>
      <c r="AE170" s="1525"/>
      <c r="AF170" s="1525"/>
      <c r="AG170" s="1525"/>
      <c r="AH170" s="1525"/>
      <c r="AI170" s="1525"/>
      <c r="AJ170" s="1525"/>
      <c r="AK170" s="1525"/>
      <c r="AL170" s="1525"/>
      <c r="AM170" s="1525"/>
      <c r="AN170" s="1525"/>
      <c r="AO170" s="1525"/>
      <c r="AP170" s="1525"/>
      <c r="AQ170" s="1525"/>
      <c r="AR170" s="1525"/>
      <c r="AS170" s="1525"/>
      <c r="AT170" s="1525"/>
      <c r="AU170" s="1525"/>
      <c r="AV170" s="1525"/>
      <c r="AW170" s="1525"/>
      <c r="AX170" s="1525"/>
      <c r="AY170" s="1525"/>
      <c r="AZ170" s="1525"/>
      <c r="BA170" s="1525"/>
      <c r="BB170" s="1526"/>
      <c r="BC170" s="613"/>
      <c r="BD170" s="189"/>
      <c r="BE170" s="189"/>
      <c r="BF170" s="189"/>
      <c r="BG170" s="189"/>
      <c r="BH170" s="189"/>
      <c r="BI170" s="189"/>
      <c r="BJ170" s="189"/>
      <c r="BK170" s="189"/>
      <c r="BL170" s="189"/>
      <c r="BM170" s="189"/>
      <c r="BN170" s="189"/>
      <c r="BO170" s="189"/>
      <c r="BP170" s="189"/>
      <c r="BQ170" s="189"/>
      <c r="BR170" s="189"/>
      <c r="BS170" s="189"/>
      <c r="BT170" s="189"/>
      <c r="BU170" s="189"/>
      <c r="BV170" s="189"/>
      <c r="BW170" s="189"/>
      <c r="BX170" s="189"/>
      <c r="BY170" s="189"/>
      <c r="BZ170" s="189"/>
      <c r="CA170" s="189"/>
      <c r="CB170" s="189"/>
      <c r="CC170" s="189"/>
      <c r="CD170" s="189"/>
      <c r="CE170" s="189"/>
      <c r="CF170" s="189"/>
      <c r="CG170" s="189"/>
      <c r="CH170" s="189"/>
      <c r="CI170" s="189"/>
      <c r="CJ170" s="189"/>
      <c r="CK170" s="189"/>
      <c r="CL170" s="189"/>
      <c r="CM170" s="189"/>
      <c r="CN170" s="189"/>
      <c r="CO170" s="189"/>
      <c r="CP170" s="189"/>
      <c r="CQ170" s="189"/>
      <c r="CR170" s="189"/>
      <c r="CS170" s="189"/>
      <c r="CT170" s="189"/>
      <c r="CU170" s="189"/>
      <c r="CV170" s="189"/>
      <c r="CW170" s="189"/>
      <c r="CX170" s="189"/>
      <c r="CY170" s="189"/>
      <c r="CZ170" s="189"/>
      <c r="DA170" s="189"/>
      <c r="DF170" s="190"/>
      <c r="DG170" s="190"/>
      <c r="DH170" s="190"/>
      <c r="DI170" s="190"/>
      <c r="DJ170" s="190"/>
      <c r="DK170" s="190"/>
      <c r="DL170" s="190"/>
      <c r="DM170" s="190"/>
      <c r="DN170" s="190"/>
    </row>
    <row r="171" spans="1:118" s="72" customFormat="1" ht="43.5" customHeight="1">
      <c r="A171" s="611"/>
      <c r="B171" s="611"/>
      <c r="C171" s="611"/>
      <c r="D171" s="611"/>
      <c r="E171" s="611"/>
      <c r="F171" s="611"/>
      <c r="G171" s="611"/>
      <c r="H171" s="613" t="str">
        <f t="shared" si="0"/>
        <v/>
      </c>
      <c r="I171" s="1525" t="str">
        <f>IFERROR(VLOOKUP("8添付",計算用資料!$F$172:$G$185,2,FALSE),"")</f>
        <v/>
      </c>
      <c r="J171" s="1525"/>
      <c r="K171" s="1525"/>
      <c r="L171" s="1525"/>
      <c r="M171" s="1525"/>
      <c r="N171" s="1525"/>
      <c r="O171" s="1525"/>
      <c r="P171" s="1525"/>
      <c r="Q171" s="1525"/>
      <c r="R171" s="1525"/>
      <c r="S171" s="1525"/>
      <c r="T171" s="1525"/>
      <c r="U171" s="1525"/>
      <c r="V171" s="1525"/>
      <c r="W171" s="1525"/>
      <c r="X171" s="1525"/>
      <c r="Y171" s="1525"/>
      <c r="Z171" s="1525"/>
      <c r="AA171" s="1525"/>
      <c r="AB171" s="1525"/>
      <c r="AC171" s="1525"/>
      <c r="AD171" s="1525"/>
      <c r="AE171" s="1525"/>
      <c r="AF171" s="1525"/>
      <c r="AG171" s="1525"/>
      <c r="AH171" s="1525"/>
      <c r="AI171" s="1525"/>
      <c r="AJ171" s="1525"/>
      <c r="AK171" s="1525"/>
      <c r="AL171" s="1525"/>
      <c r="AM171" s="1525"/>
      <c r="AN171" s="1525"/>
      <c r="AO171" s="1525"/>
      <c r="AP171" s="1525"/>
      <c r="AQ171" s="1525"/>
      <c r="AR171" s="1525"/>
      <c r="AS171" s="1525"/>
      <c r="AT171" s="1525"/>
      <c r="AU171" s="1525"/>
      <c r="AV171" s="1525"/>
      <c r="AW171" s="1525"/>
      <c r="AX171" s="1525"/>
      <c r="AY171" s="1525"/>
      <c r="AZ171" s="1525"/>
      <c r="BA171" s="1525"/>
      <c r="BB171" s="1526"/>
      <c r="BC171" s="613"/>
      <c r="BD171" s="189"/>
      <c r="BE171" s="189"/>
      <c r="BF171" s="189"/>
      <c r="BG171" s="189"/>
      <c r="BH171" s="189"/>
      <c r="BI171" s="189"/>
      <c r="BJ171" s="189"/>
      <c r="BK171" s="189"/>
      <c r="BL171" s="189"/>
      <c r="BM171" s="189"/>
      <c r="BN171" s="189"/>
      <c r="BO171" s="189"/>
      <c r="BP171" s="189"/>
      <c r="BQ171" s="189"/>
      <c r="BR171" s="189"/>
      <c r="BS171" s="189"/>
      <c r="BT171" s="189"/>
      <c r="BU171" s="189"/>
      <c r="BV171" s="189"/>
      <c r="BW171" s="189"/>
      <c r="BX171" s="189"/>
      <c r="BY171" s="189"/>
      <c r="BZ171" s="189"/>
      <c r="CA171" s="189"/>
      <c r="CB171" s="189"/>
      <c r="CC171" s="189"/>
      <c r="CD171" s="189"/>
      <c r="CE171" s="189"/>
      <c r="CF171" s="189"/>
      <c r="CG171" s="189"/>
      <c r="CH171" s="189"/>
      <c r="CI171" s="189"/>
      <c r="CJ171" s="189"/>
      <c r="CK171" s="189"/>
      <c r="CL171" s="189"/>
      <c r="CM171" s="189"/>
      <c r="CN171" s="189"/>
      <c r="CO171" s="189"/>
      <c r="CP171" s="189"/>
      <c r="CQ171" s="189"/>
      <c r="CR171" s="189"/>
      <c r="CS171" s="189"/>
      <c r="CT171" s="189"/>
      <c r="CU171" s="189"/>
      <c r="CV171" s="189"/>
      <c r="CW171" s="189"/>
      <c r="CX171" s="189"/>
      <c r="CY171" s="189"/>
      <c r="CZ171" s="189"/>
      <c r="DA171" s="189"/>
      <c r="DF171" s="190"/>
      <c r="DG171" s="190"/>
      <c r="DH171" s="190"/>
      <c r="DI171" s="190"/>
      <c r="DJ171" s="190"/>
      <c r="DK171" s="190"/>
      <c r="DL171" s="190"/>
      <c r="DM171" s="190"/>
      <c r="DN171" s="190"/>
    </row>
    <row r="172" spans="1:118" s="72" customFormat="1" ht="43.5" customHeight="1">
      <c r="A172" s="611"/>
      <c r="B172" s="611"/>
      <c r="C172" s="611"/>
      <c r="D172" s="611"/>
      <c r="E172" s="611"/>
      <c r="F172" s="611"/>
      <c r="G172" s="611"/>
      <c r="H172" s="613" t="str">
        <f t="shared" si="0"/>
        <v/>
      </c>
      <c r="I172" s="1525" t="str">
        <f>IFERROR(VLOOKUP("9添付",計算用資料!$F$172:$G$185,2,FALSE),"")</f>
        <v/>
      </c>
      <c r="J172" s="1525"/>
      <c r="K172" s="1525"/>
      <c r="L172" s="1525"/>
      <c r="M172" s="1525"/>
      <c r="N172" s="1525"/>
      <c r="O172" s="1525"/>
      <c r="P172" s="1525"/>
      <c r="Q172" s="1525"/>
      <c r="R172" s="1525"/>
      <c r="S172" s="1525"/>
      <c r="T172" s="1525"/>
      <c r="U172" s="1525"/>
      <c r="V172" s="1525"/>
      <c r="W172" s="1525"/>
      <c r="X172" s="1525"/>
      <c r="Y172" s="1525"/>
      <c r="Z172" s="1525"/>
      <c r="AA172" s="1525"/>
      <c r="AB172" s="1525"/>
      <c r="AC172" s="1525"/>
      <c r="AD172" s="1525"/>
      <c r="AE172" s="1525"/>
      <c r="AF172" s="1525"/>
      <c r="AG172" s="1525"/>
      <c r="AH172" s="1525"/>
      <c r="AI172" s="1525"/>
      <c r="AJ172" s="1525"/>
      <c r="AK172" s="1525"/>
      <c r="AL172" s="1525"/>
      <c r="AM172" s="1525"/>
      <c r="AN172" s="1525"/>
      <c r="AO172" s="1525"/>
      <c r="AP172" s="1525"/>
      <c r="AQ172" s="1525"/>
      <c r="AR172" s="1525"/>
      <c r="AS172" s="1525"/>
      <c r="AT172" s="1525"/>
      <c r="AU172" s="1525"/>
      <c r="AV172" s="1525"/>
      <c r="AW172" s="1525"/>
      <c r="AX172" s="1525"/>
      <c r="AY172" s="1525"/>
      <c r="AZ172" s="1525"/>
      <c r="BA172" s="1525"/>
      <c r="BB172" s="1526"/>
      <c r="BC172" s="613"/>
      <c r="BD172" s="189"/>
      <c r="BE172" s="189"/>
      <c r="BF172" s="189"/>
      <c r="BG172" s="189"/>
      <c r="BH172" s="189"/>
      <c r="BI172" s="189"/>
      <c r="BJ172" s="189"/>
      <c r="BK172" s="189"/>
      <c r="BL172" s="189"/>
      <c r="BM172" s="189"/>
      <c r="BN172" s="189"/>
      <c r="BO172" s="189"/>
      <c r="BP172" s="189"/>
      <c r="BQ172" s="189"/>
      <c r="BR172" s="189"/>
      <c r="BS172" s="189"/>
      <c r="BT172" s="189"/>
      <c r="BU172" s="189"/>
      <c r="BV172" s="189"/>
      <c r="BW172" s="189"/>
      <c r="BX172" s="189"/>
      <c r="BY172" s="189"/>
      <c r="BZ172" s="189"/>
      <c r="CA172" s="189"/>
      <c r="CB172" s="189"/>
      <c r="CC172" s="189"/>
      <c r="CD172" s="189"/>
      <c r="CE172" s="189"/>
      <c r="CF172" s="189"/>
      <c r="CG172" s="189"/>
      <c r="CH172" s="189"/>
      <c r="CI172" s="189"/>
      <c r="CJ172" s="189"/>
      <c r="CK172" s="189"/>
      <c r="CL172" s="189"/>
      <c r="CM172" s="189"/>
      <c r="CN172" s="189"/>
      <c r="CO172" s="189"/>
      <c r="CP172" s="189"/>
      <c r="CQ172" s="189"/>
      <c r="CR172" s="189"/>
      <c r="CS172" s="189"/>
      <c r="CT172" s="189"/>
      <c r="CU172" s="189"/>
      <c r="CV172" s="189"/>
      <c r="CW172" s="189"/>
      <c r="CX172" s="189"/>
      <c r="CY172" s="189"/>
      <c r="CZ172" s="189"/>
      <c r="DA172" s="189"/>
      <c r="DF172" s="190"/>
      <c r="DG172" s="190"/>
      <c r="DH172" s="190"/>
      <c r="DI172" s="190"/>
      <c r="DJ172" s="190"/>
      <c r="DK172" s="190"/>
      <c r="DL172" s="190"/>
      <c r="DM172" s="190"/>
      <c r="DN172" s="190"/>
    </row>
    <row r="173" spans="1:118" s="72" customFormat="1" ht="43.5" customHeight="1">
      <c r="A173" s="611"/>
      <c r="B173" s="611"/>
      <c r="C173" s="611"/>
      <c r="D173" s="611"/>
      <c r="E173" s="611"/>
      <c r="F173" s="611"/>
      <c r="G173" s="611"/>
      <c r="H173" s="613" t="str">
        <f t="shared" si="0"/>
        <v/>
      </c>
      <c r="I173" s="1525" t="str">
        <f>IFERROR(VLOOKUP("10添付",計算用資料!$F$172:$G$185,2,FALSE),"")</f>
        <v/>
      </c>
      <c r="J173" s="1525"/>
      <c r="K173" s="1525"/>
      <c r="L173" s="1525"/>
      <c r="M173" s="1525"/>
      <c r="N173" s="1525"/>
      <c r="O173" s="1525"/>
      <c r="P173" s="1525"/>
      <c r="Q173" s="1525"/>
      <c r="R173" s="1525"/>
      <c r="S173" s="1525"/>
      <c r="T173" s="1525"/>
      <c r="U173" s="1525"/>
      <c r="V173" s="1525"/>
      <c r="W173" s="1525"/>
      <c r="X173" s="1525"/>
      <c r="Y173" s="1525"/>
      <c r="Z173" s="1525"/>
      <c r="AA173" s="1525"/>
      <c r="AB173" s="1525"/>
      <c r="AC173" s="1525"/>
      <c r="AD173" s="1525"/>
      <c r="AE173" s="1525"/>
      <c r="AF173" s="1525"/>
      <c r="AG173" s="1525"/>
      <c r="AH173" s="1525"/>
      <c r="AI173" s="1525"/>
      <c r="AJ173" s="1525"/>
      <c r="AK173" s="1525"/>
      <c r="AL173" s="1525"/>
      <c r="AM173" s="1525"/>
      <c r="AN173" s="1525"/>
      <c r="AO173" s="1525"/>
      <c r="AP173" s="1525"/>
      <c r="AQ173" s="1525"/>
      <c r="AR173" s="1525"/>
      <c r="AS173" s="1525"/>
      <c r="AT173" s="1525"/>
      <c r="AU173" s="1525"/>
      <c r="AV173" s="1525"/>
      <c r="AW173" s="1525"/>
      <c r="AX173" s="1525"/>
      <c r="AY173" s="1525"/>
      <c r="AZ173" s="1525"/>
      <c r="BA173" s="1525"/>
      <c r="BB173" s="1526"/>
      <c r="BC173" s="613"/>
      <c r="BD173" s="189"/>
      <c r="BE173" s="189"/>
      <c r="BF173" s="189"/>
      <c r="BG173" s="189"/>
      <c r="BH173" s="189"/>
      <c r="BI173" s="189"/>
      <c r="BJ173" s="189"/>
      <c r="BK173" s="189"/>
      <c r="BL173" s="189"/>
      <c r="BM173" s="189"/>
      <c r="BN173" s="189"/>
      <c r="BO173" s="189"/>
      <c r="BP173" s="189"/>
      <c r="BQ173" s="189"/>
      <c r="BR173" s="189"/>
      <c r="BS173" s="189"/>
      <c r="BT173" s="189"/>
      <c r="BU173" s="189"/>
      <c r="BV173" s="189"/>
      <c r="BW173" s="189"/>
      <c r="BX173" s="189"/>
      <c r="BY173" s="189"/>
      <c r="BZ173" s="189"/>
      <c r="CA173" s="189"/>
      <c r="CB173" s="189"/>
      <c r="CC173" s="189"/>
      <c r="CD173" s="189"/>
      <c r="CE173" s="189"/>
      <c r="CF173" s="189"/>
      <c r="CG173" s="189"/>
      <c r="CH173" s="189"/>
      <c r="CI173" s="189"/>
      <c r="CJ173" s="189"/>
      <c r="CK173" s="189"/>
      <c r="CL173" s="189"/>
      <c r="CM173" s="189"/>
      <c r="CN173" s="189"/>
      <c r="CO173" s="189"/>
      <c r="CP173" s="189"/>
      <c r="CQ173" s="189"/>
      <c r="CR173" s="189"/>
      <c r="CS173" s="189"/>
      <c r="CT173" s="189"/>
      <c r="CU173" s="189"/>
      <c r="CV173" s="189"/>
      <c r="CW173" s="189"/>
      <c r="CX173" s="189"/>
      <c r="CY173" s="189"/>
      <c r="CZ173" s="189"/>
      <c r="DA173" s="189"/>
      <c r="DF173" s="190"/>
      <c r="DG173" s="190"/>
      <c r="DH173" s="190"/>
      <c r="DI173" s="190"/>
      <c r="DJ173" s="190"/>
      <c r="DK173" s="190"/>
      <c r="DL173" s="190"/>
      <c r="DM173" s="190"/>
      <c r="DN173" s="190"/>
    </row>
    <row r="174" spans="1:118" s="72" customFormat="1" ht="43.5" customHeight="1">
      <c r="A174" s="611"/>
      <c r="B174" s="611"/>
      <c r="C174" s="611"/>
      <c r="D174" s="611"/>
      <c r="E174" s="611"/>
      <c r="F174" s="611"/>
      <c r="G174" s="611"/>
      <c r="H174" s="613" t="str">
        <f>IF(I174="","","・")</f>
        <v/>
      </c>
      <c r="I174" s="1525" t="str">
        <f>IFERROR(VLOOKUP("11添付",計算用資料!$F$172:$G$185,2,FALSE),"")</f>
        <v/>
      </c>
      <c r="J174" s="1525"/>
      <c r="K174" s="1525"/>
      <c r="L174" s="1525"/>
      <c r="M174" s="1525"/>
      <c r="N174" s="1525"/>
      <c r="O174" s="1525"/>
      <c r="P174" s="1525"/>
      <c r="Q174" s="1525"/>
      <c r="R174" s="1525"/>
      <c r="S174" s="1525"/>
      <c r="T174" s="1525"/>
      <c r="U174" s="1525"/>
      <c r="V174" s="1525"/>
      <c r="W174" s="1525"/>
      <c r="X174" s="1525"/>
      <c r="Y174" s="1525"/>
      <c r="Z174" s="1525"/>
      <c r="AA174" s="1525"/>
      <c r="AB174" s="1525"/>
      <c r="AC174" s="1525"/>
      <c r="AD174" s="1525"/>
      <c r="AE174" s="1525"/>
      <c r="AF174" s="1525"/>
      <c r="AG174" s="1525"/>
      <c r="AH174" s="1525"/>
      <c r="AI174" s="1525"/>
      <c r="AJ174" s="1525"/>
      <c r="AK174" s="1525"/>
      <c r="AL174" s="1525"/>
      <c r="AM174" s="1525"/>
      <c r="AN174" s="1525"/>
      <c r="AO174" s="1525"/>
      <c r="AP174" s="1525"/>
      <c r="AQ174" s="1525"/>
      <c r="AR174" s="1525"/>
      <c r="AS174" s="1525"/>
      <c r="AT174" s="1525"/>
      <c r="AU174" s="1525"/>
      <c r="AV174" s="1525"/>
      <c r="AW174" s="1525"/>
      <c r="AX174" s="1525"/>
      <c r="AY174" s="1525"/>
      <c r="AZ174" s="1525"/>
      <c r="BA174" s="1525"/>
      <c r="BB174" s="1526"/>
      <c r="BC174" s="613"/>
      <c r="BD174" s="189"/>
      <c r="BE174" s="189"/>
      <c r="BF174" s="189"/>
      <c r="BG174" s="189"/>
      <c r="BH174" s="189"/>
      <c r="BI174" s="189"/>
      <c r="BJ174" s="189"/>
      <c r="BK174" s="189"/>
      <c r="BL174" s="189"/>
      <c r="BM174" s="189"/>
      <c r="BN174" s="189"/>
      <c r="BO174" s="189"/>
      <c r="BP174" s="189"/>
      <c r="BQ174" s="189"/>
      <c r="BR174" s="189"/>
      <c r="BS174" s="189"/>
      <c r="BT174" s="189"/>
      <c r="BU174" s="189"/>
      <c r="BV174" s="189"/>
      <c r="BW174" s="189"/>
      <c r="BX174" s="189"/>
      <c r="BY174" s="189"/>
      <c r="BZ174" s="189"/>
      <c r="CA174" s="189"/>
      <c r="CB174" s="189"/>
      <c r="CC174" s="189"/>
      <c r="CD174" s="189"/>
      <c r="CE174" s="189"/>
      <c r="CF174" s="189"/>
      <c r="CG174" s="189"/>
      <c r="CH174" s="189"/>
      <c r="CI174" s="189"/>
      <c r="CJ174" s="189"/>
      <c r="CK174" s="189"/>
      <c r="CL174" s="189"/>
      <c r="CM174" s="189"/>
      <c r="CN174" s="189"/>
      <c r="CO174" s="189"/>
      <c r="CP174" s="189"/>
      <c r="CQ174" s="189"/>
      <c r="CR174" s="189"/>
      <c r="CS174" s="189"/>
      <c r="CT174" s="189"/>
      <c r="CU174" s="189"/>
      <c r="CV174" s="189"/>
      <c r="CW174" s="189"/>
      <c r="CX174" s="189"/>
      <c r="CY174" s="189"/>
      <c r="CZ174" s="189"/>
      <c r="DA174" s="189"/>
      <c r="DF174" s="190"/>
      <c r="DG174" s="190"/>
      <c r="DH174" s="190"/>
      <c r="DI174" s="190"/>
      <c r="DJ174" s="190"/>
      <c r="DK174" s="190"/>
      <c r="DL174" s="190"/>
      <c r="DM174" s="190"/>
      <c r="DN174" s="190"/>
    </row>
    <row r="175" spans="1:118" s="72" customFormat="1" ht="43.5" customHeight="1">
      <c r="A175" s="611"/>
      <c r="B175" s="611"/>
      <c r="C175" s="611"/>
      <c r="D175" s="611"/>
      <c r="E175" s="611"/>
      <c r="F175" s="611"/>
      <c r="G175" s="611"/>
      <c r="H175" s="614" t="str">
        <f t="shared" si="0"/>
        <v/>
      </c>
      <c r="I175" s="1527" t="str">
        <f>IFERROR(VLOOKUP("12添付",計算用資料!$F$172:$G$185,2,FALSE),"")</f>
        <v/>
      </c>
      <c r="J175" s="1527"/>
      <c r="K175" s="1527"/>
      <c r="L175" s="1527"/>
      <c r="M175" s="1527"/>
      <c r="N175" s="1527"/>
      <c r="O175" s="1527"/>
      <c r="P175" s="1527"/>
      <c r="Q175" s="1527"/>
      <c r="R175" s="1527"/>
      <c r="S175" s="1527"/>
      <c r="T175" s="1527"/>
      <c r="U175" s="1527"/>
      <c r="V175" s="1527"/>
      <c r="W175" s="1527"/>
      <c r="X175" s="1527"/>
      <c r="Y175" s="1527"/>
      <c r="Z175" s="1527"/>
      <c r="AA175" s="1527"/>
      <c r="AB175" s="1527"/>
      <c r="AC175" s="1527"/>
      <c r="AD175" s="1527"/>
      <c r="AE175" s="1527"/>
      <c r="AF175" s="1527"/>
      <c r="AG175" s="1527"/>
      <c r="AH175" s="1527"/>
      <c r="AI175" s="1527"/>
      <c r="AJ175" s="1527"/>
      <c r="AK175" s="1527"/>
      <c r="AL175" s="1527"/>
      <c r="AM175" s="1527"/>
      <c r="AN175" s="1527"/>
      <c r="AO175" s="1527"/>
      <c r="AP175" s="1527"/>
      <c r="AQ175" s="1527"/>
      <c r="AR175" s="1527"/>
      <c r="AS175" s="1527"/>
      <c r="AT175" s="1527"/>
      <c r="AU175" s="1527"/>
      <c r="AV175" s="1527"/>
      <c r="AW175" s="1527"/>
      <c r="AX175" s="1527"/>
      <c r="AY175" s="1527"/>
      <c r="AZ175" s="1527"/>
      <c r="BA175" s="1527"/>
      <c r="BB175" s="1528"/>
      <c r="BC175" s="613"/>
      <c r="BD175" s="189"/>
      <c r="BE175" s="189"/>
      <c r="BF175" s="189"/>
      <c r="BG175" s="189"/>
      <c r="BH175" s="189"/>
      <c r="BI175" s="189"/>
      <c r="BJ175" s="189"/>
      <c r="BK175" s="189"/>
      <c r="BL175" s="189"/>
      <c r="BM175" s="189"/>
      <c r="BN175" s="189"/>
      <c r="BO175" s="189"/>
      <c r="BP175" s="189"/>
      <c r="BQ175" s="189"/>
      <c r="BR175" s="189"/>
      <c r="BS175" s="189"/>
      <c r="BT175" s="189"/>
      <c r="BU175" s="189"/>
      <c r="BV175" s="189"/>
      <c r="BW175" s="189"/>
      <c r="BX175" s="189"/>
      <c r="BY175" s="189"/>
      <c r="BZ175" s="189"/>
      <c r="CA175" s="189"/>
      <c r="CB175" s="189"/>
      <c r="CC175" s="189"/>
      <c r="CD175" s="189"/>
      <c r="CE175" s="189"/>
      <c r="CF175" s="189"/>
      <c r="CG175" s="189"/>
      <c r="CH175" s="189"/>
      <c r="CI175" s="189"/>
      <c r="CJ175" s="189"/>
      <c r="CK175" s="189"/>
      <c r="CL175" s="189"/>
      <c r="CM175" s="189"/>
      <c r="CN175" s="189"/>
      <c r="CO175" s="189"/>
      <c r="CP175" s="189"/>
      <c r="CQ175" s="189"/>
      <c r="CR175" s="189"/>
      <c r="CS175" s="189"/>
      <c r="CT175" s="189"/>
      <c r="CU175" s="189"/>
      <c r="CV175" s="189"/>
      <c r="CW175" s="189"/>
      <c r="CX175" s="189"/>
      <c r="CY175" s="189"/>
      <c r="CZ175" s="189"/>
      <c r="DA175" s="189"/>
      <c r="DF175" s="190"/>
      <c r="DG175" s="190"/>
      <c r="DH175" s="190"/>
      <c r="DI175" s="190"/>
      <c r="DJ175" s="190"/>
      <c r="DK175" s="190"/>
      <c r="DL175" s="190"/>
      <c r="DM175" s="190"/>
      <c r="DN175" s="190"/>
    </row>
    <row r="176" spans="1:118" s="72" customFormat="1" ht="43.5" customHeight="1" thickBot="1">
      <c r="A176" s="1529" t="s">
        <v>985</v>
      </c>
      <c r="B176" s="1529"/>
      <c r="C176" s="1529"/>
      <c r="D176" s="1529"/>
      <c r="E176" s="1529"/>
      <c r="F176" s="1529"/>
      <c r="G176" s="1529"/>
      <c r="H176" s="1529"/>
      <c r="I176" s="1529"/>
      <c r="J176" s="1529"/>
      <c r="K176" s="1529"/>
      <c r="L176" s="1529"/>
      <c r="M176" s="1529"/>
      <c r="N176" s="1529"/>
      <c r="O176" s="1529"/>
      <c r="P176" s="1529"/>
      <c r="Q176" s="1529"/>
      <c r="R176" s="1529"/>
      <c r="S176" s="1529"/>
      <c r="T176" s="1529"/>
      <c r="U176" s="1529"/>
      <c r="V176" s="1529"/>
      <c r="W176" s="1529"/>
      <c r="X176" s="1529"/>
      <c r="Y176" s="1529"/>
      <c r="Z176" s="1529"/>
      <c r="AA176" s="1529"/>
      <c r="AB176" s="1529"/>
      <c r="AC176" s="1529"/>
      <c r="AD176" s="1529"/>
      <c r="AE176" s="1529"/>
      <c r="AF176" s="1529"/>
      <c r="AG176" s="1529"/>
      <c r="AH176" s="1529"/>
      <c r="AI176" s="1529"/>
      <c r="AJ176" s="1529"/>
      <c r="AK176" s="1529"/>
      <c r="AL176" s="1529"/>
      <c r="AM176" s="1529"/>
      <c r="AN176" s="1529"/>
      <c r="AO176" s="1529"/>
      <c r="AP176" s="1529"/>
      <c r="AQ176" s="1529"/>
      <c r="AR176" s="1529"/>
      <c r="AS176" s="1529"/>
      <c r="AT176" s="1529"/>
      <c r="AU176" s="1529"/>
      <c r="AV176" s="1529"/>
      <c r="AW176" s="1529"/>
      <c r="AX176" s="1529"/>
      <c r="AY176" s="1529"/>
      <c r="AZ176" s="1529"/>
      <c r="BA176" s="1529"/>
      <c r="BB176" s="1529"/>
      <c r="BC176" s="1529"/>
      <c r="BD176" s="189"/>
      <c r="BE176" s="189"/>
      <c r="BF176" s="189"/>
      <c r="BG176" s="189"/>
      <c r="BH176" s="189"/>
      <c r="BI176" s="189"/>
      <c r="BJ176" s="189"/>
      <c r="BK176" s="189"/>
      <c r="BL176" s="189"/>
      <c r="BM176" s="189"/>
      <c r="BN176" s="189"/>
      <c r="BO176" s="189"/>
      <c r="BP176" s="189"/>
      <c r="BQ176" s="189"/>
      <c r="BR176" s="189"/>
      <c r="BS176" s="189"/>
      <c r="BT176" s="189"/>
      <c r="BU176" s="189"/>
      <c r="BV176" s="189"/>
      <c r="BW176" s="189"/>
      <c r="BX176" s="189"/>
      <c r="BY176" s="189"/>
      <c r="BZ176" s="189"/>
      <c r="CA176" s="189"/>
      <c r="CB176" s="189"/>
      <c r="CC176" s="189"/>
      <c r="CD176" s="189"/>
      <c r="CE176" s="189"/>
      <c r="CF176" s="189"/>
      <c r="CG176" s="189"/>
      <c r="CH176" s="189"/>
      <c r="CI176" s="189"/>
      <c r="CJ176" s="189"/>
      <c r="CK176" s="189"/>
      <c r="CL176" s="189"/>
      <c r="CM176" s="189"/>
      <c r="CN176" s="189"/>
      <c r="CO176" s="189"/>
      <c r="CP176" s="189"/>
      <c r="CQ176" s="189"/>
      <c r="CR176" s="189"/>
      <c r="CS176" s="189"/>
      <c r="CT176" s="189"/>
      <c r="CU176" s="189"/>
      <c r="CV176" s="189"/>
      <c r="CW176" s="189"/>
      <c r="CX176" s="189"/>
      <c r="CY176" s="189"/>
      <c r="CZ176" s="189"/>
      <c r="DA176" s="189"/>
      <c r="DF176" s="190"/>
      <c r="DG176" s="190"/>
      <c r="DH176" s="190"/>
      <c r="DI176" s="190"/>
      <c r="DJ176" s="190"/>
      <c r="DK176" s="190"/>
      <c r="DL176" s="190"/>
      <c r="DM176" s="190"/>
      <c r="DN176" s="190"/>
    </row>
    <row r="177" spans="1:118" s="72" customFormat="1" ht="21.75" customHeight="1" thickBot="1">
      <c r="A177" s="615"/>
      <c r="B177" s="615"/>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15"/>
      <c r="AL177" s="615"/>
      <c r="AM177" s="615"/>
      <c r="AN177" s="615"/>
      <c r="AO177" s="615"/>
      <c r="AP177" s="615"/>
      <c r="AQ177" s="615"/>
      <c r="AR177" s="615"/>
      <c r="AS177" s="615"/>
      <c r="AT177" s="615"/>
      <c r="AU177" s="615"/>
      <c r="AV177" s="615"/>
      <c r="AW177" s="615"/>
      <c r="AX177" s="615"/>
      <c r="AY177" s="615"/>
      <c r="AZ177" s="615"/>
      <c r="BA177" s="615"/>
      <c r="BB177" s="615"/>
      <c r="BC177" s="615"/>
      <c r="BD177" s="189"/>
      <c r="BE177" s="189"/>
      <c r="BF177" s="189"/>
      <c r="BG177" s="189"/>
      <c r="BH177" s="189"/>
      <c r="BI177" s="189"/>
      <c r="BJ177" s="189"/>
      <c r="BK177" s="189"/>
      <c r="BL177" s="189"/>
      <c r="BM177" s="189"/>
      <c r="BN177" s="189"/>
      <c r="BO177" s="189"/>
      <c r="BP177" s="189"/>
      <c r="BQ177" s="189"/>
      <c r="BR177" s="189"/>
      <c r="BS177" s="189"/>
      <c r="BT177" s="189"/>
      <c r="BU177" s="189"/>
      <c r="BV177" s="189"/>
      <c r="BW177" s="189"/>
      <c r="BX177" s="189"/>
      <c r="BY177" s="189"/>
      <c r="BZ177" s="189"/>
      <c r="CA177" s="189"/>
      <c r="CB177" s="189"/>
      <c r="CC177" s="189"/>
      <c r="CD177" s="189"/>
      <c r="CE177" s="189"/>
      <c r="CF177" s="189"/>
      <c r="CG177" s="189"/>
      <c r="CH177" s="189"/>
      <c r="CI177" s="189"/>
      <c r="CJ177" s="189"/>
      <c r="CK177" s="189"/>
      <c r="CL177" s="189"/>
      <c r="CM177" s="189"/>
      <c r="CN177" s="189"/>
      <c r="CO177" s="189"/>
      <c r="CP177" s="189"/>
      <c r="CQ177" s="189"/>
      <c r="CR177" s="189"/>
      <c r="CS177" s="189"/>
      <c r="CT177" s="189"/>
      <c r="CU177" s="189"/>
      <c r="CV177" s="189"/>
      <c r="CW177" s="189"/>
      <c r="CX177" s="189"/>
      <c r="CY177" s="189"/>
      <c r="CZ177" s="189"/>
      <c r="DA177" s="189"/>
      <c r="DF177" s="190"/>
      <c r="DG177" s="190"/>
      <c r="DH177" s="190"/>
      <c r="DI177" s="190"/>
      <c r="DJ177" s="190"/>
      <c r="DK177" s="190"/>
      <c r="DL177" s="190"/>
      <c r="DM177" s="190"/>
      <c r="DN177" s="190"/>
    </row>
    <row r="178" spans="1:118" s="72" customFormat="1" ht="21.75" customHeight="1">
      <c r="A178" s="611"/>
      <c r="B178" s="611"/>
      <c r="C178" s="611"/>
      <c r="D178" s="611"/>
      <c r="E178" s="611"/>
      <c r="F178" s="611"/>
      <c r="G178" s="1542" t="s">
        <v>986</v>
      </c>
      <c r="H178" s="1543"/>
      <c r="I178" s="1543"/>
      <c r="J178" s="1543"/>
      <c r="K178" s="1543"/>
      <c r="L178" s="1543"/>
      <c r="M178" s="1543"/>
      <c r="N178" s="1543"/>
      <c r="O178" s="1543"/>
      <c r="P178" s="1543"/>
      <c r="Q178" s="1543"/>
      <c r="R178" s="1543"/>
      <c r="S178" s="1543"/>
      <c r="T178" s="1543"/>
      <c r="U178" s="1543"/>
      <c r="V178" s="1543"/>
      <c r="W178" s="1543"/>
      <c r="X178" s="1543"/>
      <c r="Y178" s="1543"/>
      <c r="Z178" s="1543"/>
      <c r="AA178" s="1543"/>
      <c r="AB178" s="1543"/>
      <c r="AC178" s="1543"/>
      <c r="AD178" s="1543"/>
      <c r="AE178" s="1543"/>
      <c r="AF178" s="1543"/>
      <c r="AG178" s="1543"/>
      <c r="AH178" s="1543"/>
      <c r="AI178" s="1543"/>
      <c r="AJ178" s="1543"/>
      <c r="AK178" s="1543"/>
      <c r="AL178" s="1543"/>
      <c r="AM178" s="1543"/>
      <c r="AN178" s="1543"/>
      <c r="AO178" s="1543"/>
      <c r="AP178" s="1543"/>
      <c r="AQ178" s="1543"/>
      <c r="AR178" s="1543"/>
      <c r="AS178" s="1543"/>
      <c r="AT178" s="1543"/>
      <c r="AU178" s="1543"/>
      <c r="AV178" s="1544"/>
      <c r="AW178" s="616"/>
      <c r="AX178" s="617"/>
      <c r="AY178" s="617"/>
      <c r="AZ178" s="617"/>
      <c r="BA178" s="617"/>
      <c r="BB178" s="618"/>
      <c r="BC178" s="618"/>
      <c r="BD178" s="189"/>
      <c r="BE178" s="189"/>
      <c r="BF178" s="189"/>
      <c r="BG178" s="189"/>
      <c r="BH178" s="189"/>
      <c r="BI178" s="189"/>
      <c r="BJ178" s="189"/>
      <c r="BK178" s="189"/>
      <c r="BL178" s="189"/>
      <c r="BM178" s="189"/>
      <c r="BN178" s="189"/>
      <c r="BO178" s="189"/>
      <c r="BP178" s="189"/>
      <c r="BQ178" s="189"/>
      <c r="BR178" s="189"/>
      <c r="BS178" s="189"/>
      <c r="BT178" s="189"/>
      <c r="BU178" s="189"/>
      <c r="BV178" s="189"/>
      <c r="BW178" s="189"/>
      <c r="BX178" s="189"/>
      <c r="BY178" s="189"/>
      <c r="BZ178" s="189"/>
      <c r="CA178" s="189"/>
      <c r="CB178" s="189"/>
      <c r="CC178" s="189"/>
      <c r="CD178" s="189"/>
      <c r="CE178" s="189"/>
      <c r="CF178" s="189"/>
      <c r="CG178" s="189"/>
      <c r="CH178" s="189"/>
      <c r="CI178" s="189"/>
      <c r="CJ178" s="189"/>
      <c r="CK178" s="189"/>
      <c r="CL178" s="189"/>
      <c r="CM178" s="189"/>
      <c r="CN178" s="189"/>
      <c r="CO178" s="189"/>
      <c r="CP178" s="189"/>
      <c r="CQ178" s="189"/>
      <c r="CR178" s="189"/>
      <c r="CS178" s="189"/>
      <c r="CT178" s="189"/>
      <c r="CU178" s="189"/>
      <c r="CV178" s="189"/>
      <c r="CW178" s="189"/>
      <c r="CX178" s="189"/>
      <c r="CY178" s="189"/>
      <c r="CZ178" s="189"/>
      <c r="DA178" s="189"/>
      <c r="DF178" s="190"/>
      <c r="DG178" s="190"/>
      <c r="DH178" s="190"/>
      <c r="DI178" s="190"/>
      <c r="DJ178" s="190"/>
      <c r="DK178" s="190"/>
      <c r="DL178" s="190"/>
      <c r="DM178" s="190"/>
      <c r="DN178" s="190"/>
    </row>
    <row r="179" spans="1:118" s="72" customFormat="1" ht="43.5" customHeight="1">
      <c r="A179" s="611"/>
      <c r="B179" s="611"/>
      <c r="C179" s="611"/>
      <c r="D179" s="611"/>
      <c r="E179" s="611"/>
      <c r="F179" s="611"/>
      <c r="G179" s="1545"/>
      <c r="H179" s="1546"/>
      <c r="I179" s="1546"/>
      <c r="J179" s="1546"/>
      <c r="K179" s="1546"/>
      <c r="L179" s="1546"/>
      <c r="M179" s="1546"/>
      <c r="N179" s="1546"/>
      <c r="O179" s="1546"/>
      <c r="P179" s="1546"/>
      <c r="Q179" s="1546"/>
      <c r="R179" s="1546"/>
      <c r="S179" s="1546"/>
      <c r="T179" s="1546"/>
      <c r="U179" s="1546"/>
      <c r="V179" s="1546"/>
      <c r="W179" s="1546"/>
      <c r="X179" s="1546"/>
      <c r="Y179" s="1546"/>
      <c r="Z179" s="1546"/>
      <c r="AA179" s="1546"/>
      <c r="AB179" s="1546"/>
      <c r="AC179" s="1546"/>
      <c r="AD179" s="1546"/>
      <c r="AE179" s="1546"/>
      <c r="AF179" s="1546"/>
      <c r="AG179" s="1546"/>
      <c r="AH179" s="1546"/>
      <c r="AI179" s="1546"/>
      <c r="AJ179" s="1546"/>
      <c r="AK179" s="1546"/>
      <c r="AL179" s="1546"/>
      <c r="AM179" s="1546"/>
      <c r="AN179" s="1546"/>
      <c r="AO179" s="1546"/>
      <c r="AP179" s="1546"/>
      <c r="AQ179" s="1546"/>
      <c r="AR179" s="1546"/>
      <c r="AS179" s="1546"/>
      <c r="AT179" s="1546"/>
      <c r="AU179" s="1546"/>
      <c r="AV179" s="1547"/>
      <c r="AW179" s="616"/>
      <c r="AX179" s="617"/>
      <c r="AY179" s="617"/>
      <c r="AZ179" s="617"/>
      <c r="BA179" s="617"/>
      <c r="BB179" s="618"/>
      <c r="BC179" s="618"/>
      <c r="BD179" s="189"/>
      <c r="BE179" s="189"/>
      <c r="BF179" s="189"/>
      <c r="BG179" s="189"/>
      <c r="BH179" s="189"/>
      <c r="BI179" s="189"/>
      <c r="BJ179" s="189"/>
      <c r="BK179" s="189"/>
      <c r="BL179" s="189"/>
      <c r="BM179" s="189"/>
      <c r="BN179" s="189"/>
      <c r="BO179" s="189"/>
      <c r="BP179" s="189"/>
      <c r="BQ179" s="189"/>
      <c r="BR179" s="189"/>
      <c r="BS179" s="189"/>
      <c r="BT179" s="189"/>
      <c r="BU179" s="189"/>
      <c r="BV179" s="189"/>
      <c r="BW179" s="189"/>
      <c r="BX179" s="189"/>
      <c r="BY179" s="189"/>
      <c r="BZ179" s="189"/>
      <c r="CA179" s="189"/>
      <c r="CB179" s="189"/>
      <c r="CC179" s="189"/>
      <c r="CD179" s="189"/>
      <c r="CE179" s="189"/>
      <c r="CF179" s="189"/>
      <c r="CG179" s="189"/>
      <c r="CH179" s="189"/>
      <c r="CI179" s="189"/>
      <c r="CJ179" s="189"/>
      <c r="CK179" s="189"/>
      <c r="CL179" s="189"/>
      <c r="CM179" s="189"/>
      <c r="CN179" s="189"/>
      <c r="CO179" s="189"/>
      <c r="CP179" s="189"/>
      <c r="CQ179" s="189"/>
      <c r="CR179" s="189"/>
      <c r="CS179" s="189"/>
      <c r="CT179" s="189"/>
      <c r="CU179" s="189"/>
      <c r="CV179" s="189"/>
      <c r="CW179" s="189"/>
      <c r="CX179" s="189"/>
      <c r="CY179" s="189"/>
      <c r="CZ179" s="189"/>
      <c r="DA179" s="189"/>
      <c r="DF179" s="190"/>
      <c r="DG179" s="190"/>
      <c r="DH179" s="190"/>
      <c r="DI179" s="190"/>
      <c r="DJ179" s="190"/>
      <c r="DK179" s="190"/>
      <c r="DL179" s="190"/>
      <c r="DM179" s="190"/>
      <c r="DN179" s="190"/>
    </row>
    <row r="180" spans="1:118" s="72" customFormat="1" ht="43.5" customHeight="1" thickBot="1">
      <c r="A180" s="611"/>
      <c r="B180" s="611"/>
      <c r="C180" s="611"/>
      <c r="D180" s="611"/>
      <c r="E180" s="611"/>
      <c r="F180" s="611"/>
      <c r="G180" s="1548"/>
      <c r="H180" s="1549"/>
      <c r="I180" s="1549"/>
      <c r="J180" s="1549"/>
      <c r="K180" s="1549"/>
      <c r="L180" s="1549"/>
      <c r="M180" s="1549"/>
      <c r="N180" s="1549"/>
      <c r="O180" s="1549"/>
      <c r="P180" s="1549"/>
      <c r="Q180" s="1549"/>
      <c r="R180" s="1549"/>
      <c r="S180" s="1549"/>
      <c r="T180" s="1549"/>
      <c r="U180" s="1549"/>
      <c r="V180" s="1549"/>
      <c r="W180" s="1549"/>
      <c r="X180" s="1549"/>
      <c r="Y180" s="1549"/>
      <c r="Z180" s="1549"/>
      <c r="AA180" s="1549"/>
      <c r="AB180" s="1549"/>
      <c r="AC180" s="1549"/>
      <c r="AD180" s="1549"/>
      <c r="AE180" s="1549"/>
      <c r="AF180" s="1549"/>
      <c r="AG180" s="1549"/>
      <c r="AH180" s="1549"/>
      <c r="AI180" s="1549"/>
      <c r="AJ180" s="1549"/>
      <c r="AK180" s="1549"/>
      <c r="AL180" s="1549"/>
      <c r="AM180" s="1549"/>
      <c r="AN180" s="1549"/>
      <c r="AO180" s="1549"/>
      <c r="AP180" s="1549"/>
      <c r="AQ180" s="1549"/>
      <c r="AR180" s="1549"/>
      <c r="AS180" s="1549"/>
      <c r="AT180" s="1549"/>
      <c r="AU180" s="1549"/>
      <c r="AV180" s="1550"/>
      <c r="AW180" s="616"/>
      <c r="AX180" s="617"/>
      <c r="AY180" s="617"/>
      <c r="AZ180" s="617"/>
      <c r="BA180" s="617"/>
      <c r="BB180" s="618"/>
      <c r="BC180" s="618"/>
      <c r="BD180" s="189"/>
      <c r="BE180" s="189"/>
      <c r="BF180" s="189"/>
      <c r="BG180" s="189"/>
      <c r="BH180" s="189"/>
      <c r="BI180" s="189"/>
      <c r="BJ180" s="189"/>
      <c r="BK180" s="189"/>
      <c r="BL180" s="189"/>
      <c r="BM180" s="189"/>
      <c r="BN180" s="189"/>
      <c r="BO180" s="189"/>
      <c r="BP180" s="189"/>
      <c r="BQ180" s="189"/>
      <c r="BR180" s="189"/>
      <c r="BS180" s="189"/>
      <c r="BT180" s="189"/>
      <c r="BU180" s="189"/>
      <c r="BV180" s="189"/>
      <c r="BW180" s="189"/>
      <c r="BX180" s="189"/>
      <c r="BY180" s="189"/>
      <c r="BZ180" s="189"/>
      <c r="CA180" s="189"/>
      <c r="CB180" s="189"/>
      <c r="CC180" s="189"/>
      <c r="CD180" s="189"/>
      <c r="CE180" s="189"/>
      <c r="CF180" s="189"/>
      <c r="CG180" s="189"/>
      <c r="CH180" s="189"/>
      <c r="CI180" s="189"/>
      <c r="CJ180" s="189"/>
      <c r="CK180" s="189"/>
      <c r="CL180" s="189"/>
      <c r="CM180" s="189"/>
      <c r="CN180" s="189"/>
      <c r="CO180" s="189"/>
      <c r="CP180" s="189"/>
      <c r="CQ180" s="189"/>
      <c r="CR180" s="189"/>
      <c r="CS180" s="189"/>
      <c r="CT180" s="189"/>
      <c r="CU180" s="189"/>
      <c r="CV180" s="189"/>
      <c r="CW180" s="189"/>
      <c r="CX180" s="189"/>
      <c r="CY180" s="189"/>
      <c r="CZ180" s="189"/>
      <c r="DA180" s="189"/>
      <c r="DF180" s="190"/>
      <c r="DG180" s="190"/>
      <c r="DH180" s="190"/>
      <c r="DI180" s="190"/>
      <c r="DJ180" s="190"/>
      <c r="DK180" s="190"/>
      <c r="DL180" s="190"/>
      <c r="DM180" s="190"/>
      <c r="DN180" s="190"/>
    </row>
    <row r="181" spans="1:118" hidden="1"/>
    <row r="182" spans="1:118" hidden="1"/>
    <row r="183" spans="1:118" hidden="1"/>
    <row r="184" spans="1:118" hidden="1"/>
    <row r="185" spans="1:118" hidden="1"/>
    <row r="186" spans="1:118" hidden="1"/>
    <row r="187" spans="1:118" hidden="1"/>
    <row r="188" spans="1:118" hidden="1"/>
    <row r="189" spans="1:118" hidden="1"/>
    <row r="190" spans="1:118" hidden="1"/>
    <row r="191" spans="1:118" hidden="1"/>
    <row r="192" spans="1:118"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sheetData>
  <sheetProtection algorithmName="SHA-512" hashValue="O7qgdVXXdg4BPEIC4aAojpXVOQEZb6A62q9Zo3ipVd1WfIhq5I4RZAsyNruE9xMphE6M+hC2JcDh7F0abXT/zA==" saltValue="vXlt8JtMCiXauOSystEzlw==" spinCount="100000" sheet="1" objects="1" scenarios="1"/>
  <mergeCells count="809">
    <mergeCell ref="C152:BB152"/>
    <mergeCell ref="U73:Y73"/>
    <mergeCell ref="N72:T72"/>
    <mergeCell ref="AA72:AG72"/>
    <mergeCell ref="U72:Z72"/>
    <mergeCell ref="F72:M72"/>
    <mergeCell ref="AA73:AF73"/>
    <mergeCell ref="N73:S73"/>
    <mergeCell ref="E132:M132"/>
    <mergeCell ref="E133:M133"/>
    <mergeCell ref="H79:S79"/>
    <mergeCell ref="AB78:AG79"/>
    <mergeCell ref="B78:G78"/>
    <mergeCell ref="H78:S78"/>
    <mergeCell ref="AE137:AF137"/>
    <mergeCell ref="AG138:AJ138"/>
    <mergeCell ref="AG137:AJ137"/>
    <mergeCell ref="AK137:AL137"/>
    <mergeCell ref="AP77:AT77"/>
    <mergeCell ref="AM138:AP138"/>
    <mergeCell ref="F138:V138"/>
    <mergeCell ref="AM137:AP137"/>
    <mergeCell ref="C128:F128"/>
    <mergeCell ref="C72:E73"/>
    <mergeCell ref="A2:BC2"/>
    <mergeCell ref="A3:BC3"/>
    <mergeCell ref="AD41:AE41"/>
    <mergeCell ref="C15:S15"/>
    <mergeCell ref="K13:P14"/>
    <mergeCell ref="AH13:AJ14"/>
    <mergeCell ref="AV13:AW14"/>
    <mergeCell ref="X51:Y51"/>
    <mergeCell ref="AD46:AG46"/>
    <mergeCell ref="X47:Y47"/>
    <mergeCell ref="AA37:AG37"/>
    <mergeCell ref="AV51:BA51"/>
    <mergeCell ref="AS47:AU47"/>
    <mergeCell ref="AK43:AR43"/>
    <mergeCell ref="R48:S48"/>
    <mergeCell ref="E47:E49"/>
    <mergeCell ref="L38:W38"/>
    <mergeCell ref="H38:K38"/>
    <mergeCell ref="H39:O39"/>
    <mergeCell ref="J41:L42"/>
    <mergeCell ref="G40:I42"/>
    <mergeCell ref="J43:S43"/>
    <mergeCell ref="M41:V42"/>
    <mergeCell ref="R44:U44"/>
    <mergeCell ref="AU77:BB77"/>
    <mergeCell ref="AN95:AT95"/>
    <mergeCell ref="AN85:AO85"/>
    <mergeCell ref="AB85:AB92"/>
    <mergeCell ref="Y40:AC40"/>
    <mergeCell ref="AD40:AE40"/>
    <mergeCell ref="Z55:AC55"/>
    <mergeCell ref="Z49:AC49"/>
    <mergeCell ref="AV53:BA53"/>
    <mergeCell ref="AV54:BA54"/>
    <mergeCell ref="AS52:AU52"/>
    <mergeCell ref="AK55:AN55"/>
    <mergeCell ref="W42:AB42"/>
    <mergeCell ref="AC42:AF42"/>
    <mergeCell ref="V47:W47"/>
    <mergeCell ref="AV41:BA41"/>
    <mergeCell ref="AV42:BA42"/>
    <mergeCell ref="AV43:BA43"/>
    <mergeCell ref="AK44:AR44"/>
    <mergeCell ref="AK40:AR40"/>
    <mergeCell ref="AK41:AR41"/>
    <mergeCell ref="AF40:AG40"/>
    <mergeCell ref="AF41:AG41"/>
    <mergeCell ref="AV44:BA44"/>
    <mergeCell ref="T48:U48"/>
    <mergeCell ref="Z47:AA48"/>
    <mergeCell ref="J46:Y46"/>
    <mergeCell ref="R56:U56"/>
    <mergeCell ref="X56:Y56"/>
    <mergeCell ref="J55:Y55"/>
    <mergeCell ref="F55:I55"/>
    <mergeCell ref="BA138:BB138"/>
    <mergeCell ref="AS138:AZ138"/>
    <mergeCell ref="AE138:AF138"/>
    <mergeCell ref="AY113:BA113"/>
    <mergeCell ref="AY114:BA114"/>
    <mergeCell ref="AY115:BA115"/>
    <mergeCell ref="AH113:AJ113"/>
    <mergeCell ref="AH114:AJ114"/>
    <mergeCell ref="AH115:AJ115"/>
    <mergeCell ref="AK113:AO113"/>
    <mergeCell ref="AK114:AO114"/>
    <mergeCell ref="AK115:AO115"/>
    <mergeCell ref="AT113:AW113"/>
    <mergeCell ref="AT114:AW114"/>
    <mergeCell ref="AT115:AW115"/>
    <mergeCell ref="AS109:AV109"/>
    <mergeCell ref="AS108:AV108"/>
    <mergeCell ref="I171:BB171"/>
    <mergeCell ref="I172:BB172"/>
    <mergeCell ref="I173:BB173"/>
    <mergeCell ref="K7:P7"/>
    <mergeCell ref="K8:P8"/>
    <mergeCell ref="AU7:BB8"/>
    <mergeCell ref="AR7:AT8"/>
    <mergeCell ref="AX13:BB14"/>
    <mergeCell ref="AK13:AU14"/>
    <mergeCell ref="Q13:AG14"/>
    <mergeCell ref="AO55:AP55"/>
    <mergeCell ref="AQ55:AR55"/>
    <mergeCell ref="X48:Y48"/>
    <mergeCell ref="X50:Y50"/>
    <mergeCell ref="AA38:AG38"/>
    <mergeCell ref="AK47:AR47"/>
    <mergeCell ref="AS49:AU49"/>
    <mergeCell ref="AI42:AJ43"/>
    <mergeCell ref="AS43:AU43"/>
    <mergeCell ref="AI60:AU60"/>
    <mergeCell ref="AK67:AS67"/>
    <mergeCell ref="C65:S66"/>
    <mergeCell ref="AI61:AU61"/>
    <mergeCell ref="AI44:AJ56"/>
    <mergeCell ref="I162:BB162"/>
    <mergeCell ref="I163:BB163"/>
    <mergeCell ref="I164:BB164"/>
    <mergeCell ref="Y153:AX153"/>
    <mergeCell ref="AA41:AC41"/>
    <mergeCell ref="I170:BB170"/>
    <mergeCell ref="G178:AV180"/>
    <mergeCell ref="D139:E140"/>
    <mergeCell ref="D142:E142"/>
    <mergeCell ref="F139:O140"/>
    <mergeCell ref="P139:R140"/>
    <mergeCell ref="S139:V140"/>
    <mergeCell ref="O142:T142"/>
    <mergeCell ref="G156:P156"/>
    <mergeCell ref="F142:N142"/>
    <mergeCell ref="U142:V142"/>
    <mergeCell ref="D141:V141"/>
    <mergeCell ref="W141:X141"/>
    <mergeCell ref="I168:BB168"/>
    <mergeCell ref="I169:BB169"/>
    <mergeCell ref="I167:BB167"/>
    <mergeCell ref="Y139:BB139"/>
    <mergeCell ref="Y140:AL140"/>
    <mergeCell ref="AO140:BB140"/>
    <mergeCell ref="I174:BB174"/>
    <mergeCell ref="I175:BB175"/>
    <mergeCell ref="A176:BC176"/>
    <mergeCell ref="I165:BB165"/>
    <mergeCell ref="I166:BB166"/>
    <mergeCell ref="E50:E52"/>
    <mergeCell ref="P47:Q48"/>
    <mergeCell ref="X54:Y54"/>
    <mergeCell ref="AK50:AR50"/>
    <mergeCell ref="AK51:AR51"/>
    <mergeCell ref="AK48:AR48"/>
    <mergeCell ref="AB47:AC48"/>
    <mergeCell ref="H158:BB160"/>
    <mergeCell ref="B133:D133"/>
    <mergeCell ref="B137:C137"/>
    <mergeCell ref="B134:D134"/>
    <mergeCell ref="E134:M134"/>
    <mergeCell ref="AA137:AD137"/>
    <mergeCell ref="B132:D132"/>
    <mergeCell ref="J58:AG58"/>
    <mergeCell ref="J61:AG61"/>
    <mergeCell ref="E53:E55"/>
    <mergeCell ref="AK54:AR54"/>
    <mergeCell ref="AI71:AM71"/>
    <mergeCell ref="O81:R81"/>
    <mergeCell ref="O83:R83"/>
    <mergeCell ref="G60:O60"/>
    <mergeCell ref="F58:I58"/>
    <mergeCell ref="D138:E138"/>
    <mergeCell ref="Y142:BB142"/>
    <mergeCell ref="AF50:AG51"/>
    <mergeCell ref="V48:W48"/>
    <mergeCell ref="V54:W54"/>
    <mergeCell ref="V53:W53"/>
    <mergeCell ref="T51:U51"/>
    <mergeCell ref="Z50:AA51"/>
    <mergeCell ref="Z53:AA54"/>
    <mergeCell ref="R51:S51"/>
    <mergeCell ref="AD53:AE54"/>
    <mergeCell ref="R53:U53"/>
    <mergeCell ref="AB50:AC51"/>
    <mergeCell ref="J49:Y49"/>
    <mergeCell ref="AV50:BA50"/>
    <mergeCell ref="G112:J112"/>
    <mergeCell ref="G113:J113"/>
    <mergeCell ref="O94:R94"/>
    <mergeCell ref="Q112:T112"/>
    <mergeCell ref="C67:E70"/>
    <mergeCell ref="R54:S54"/>
    <mergeCell ref="X53:Y53"/>
    <mergeCell ref="AB53:AC54"/>
    <mergeCell ref="E62:E64"/>
    <mergeCell ref="F67:O67"/>
    <mergeCell ref="F68:O68"/>
    <mergeCell ref="G56:O56"/>
    <mergeCell ref="G62:O62"/>
    <mergeCell ref="AB62:AC63"/>
    <mergeCell ref="R57:S57"/>
    <mergeCell ref="T54:U54"/>
    <mergeCell ref="G54:O54"/>
    <mergeCell ref="P53:Q54"/>
    <mergeCell ref="R50:U50"/>
    <mergeCell ref="M40:V40"/>
    <mergeCell ref="J52:Y52"/>
    <mergeCell ref="P39:W39"/>
    <mergeCell ref="X39:AG39"/>
    <mergeCell ref="H34:K34"/>
    <mergeCell ref="H36:O36"/>
    <mergeCell ref="H35:K35"/>
    <mergeCell ref="M33:N33"/>
    <mergeCell ref="L34:W34"/>
    <mergeCell ref="L35:W35"/>
    <mergeCell ref="Y41:Z41"/>
    <mergeCell ref="AB44:AC45"/>
    <mergeCell ref="AD44:AE45"/>
    <mergeCell ref="G47:O47"/>
    <mergeCell ref="AF47:AG48"/>
    <mergeCell ref="AD50:AE51"/>
    <mergeCell ref="P50:Q51"/>
    <mergeCell ref="R47:U47"/>
    <mergeCell ref="G48:O48"/>
    <mergeCell ref="F49:I49"/>
    <mergeCell ref="F52:I52"/>
    <mergeCell ref="Z46:AC46"/>
    <mergeCell ref="AD49:AG49"/>
    <mergeCell ref="H32:I32"/>
    <mergeCell ref="H33:I33"/>
    <mergeCell ref="J32:L32"/>
    <mergeCell ref="O33:Q33"/>
    <mergeCell ref="AA32:AC33"/>
    <mergeCell ref="P36:W36"/>
    <mergeCell ref="J33:L33"/>
    <mergeCell ref="M32:N32"/>
    <mergeCell ref="O32:Q32"/>
    <mergeCell ref="AV38:BA38"/>
    <mergeCell ref="AS37:AU37"/>
    <mergeCell ref="AS42:AU42"/>
    <mergeCell ref="AS41:AU41"/>
    <mergeCell ref="AS44:AU44"/>
    <mergeCell ref="AS36:AU36"/>
    <mergeCell ref="AS39:AU39"/>
    <mergeCell ref="AV36:BA36"/>
    <mergeCell ref="AS38:AU38"/>
    <mergeCell ref="AS40:AU40"/>
    <mergeCell ref="A4:BB4"/>
    <mergeCell ref="C34:F39"/>
    <mergeCell ref="T20:AF20"/>
    <mergeCell ref="T19:AF19"/>
    <mergeCell ref="T18:AF18"/>
    <mergeCell ref="T17:AF17"/>
    <mergeCell ref="T16:AG16"/>
    <mergeCell ref="T21:AF22"/>
    <mergeCell ref="AA35:AG35"/>
    <mergeCell ref="AC31:AG31"/>
    <mergeCell ref="AD32:AG33"/>
    <mergeCell ref="X34:Z35"/>
    <mergeCell ref="AA34:AG34"/>
    <mergeCell ref="G29:S29"/>
    <mergeCell ref="C23:F28"/>
    <mergeCell ref="C21:F22"/>
    <mergeCell ref="AM21:AR21"/>
    <mergeCell ref="AM36:AR36"/>
    <mergeCell ref="AM37:AR37"/>
    <mergeCell ref="AM38:AR38"/>
    <mergeCell ref="AM39:AR39"/>
    <mergeCell ref="AK36:AL39"/>
    <mergeCell ref="AK16:AL17"/>
    <mergeCell ref="AM16:AR16"/>
    <mergeCell ref="E44:E46"/>
    <mergeCell ref="G44:O44"/>
    <mergeCell ref="G45:O45"/>
    <mergeCell ref="P44:Q45"/>
    <mergeCell ref="X45:Y45"/>
    <mergeCell ref="T43:U43"/>
    <mergeCell ref="X44:Y44"/>
    <mergeCell ref="V45:W45"/>
    <mergeCell ref="AF44:AG45"/>
    <mergeCell ref="V44:W44"/>
    <mergeCell ref="G43:I43"/>
    <mergeCell ref="V43:AG43"/>
    <mergeCell ref="Z44:AA45"/>
    <mergeCell ref="R45:S45"/>
    <mergeCell ref="T45:U45"/>
    <mergeCell ref="F46:I46"/>
    <mergeCell ref="AV18:BA18"/>
    <mergeCell ref="AS27:AU27"/>
    <mergeCell ref="AS29:AU29"/>
    <mergeCell ref="AS33:AU33"/>
    <mergeCell ref="AS30:AU30"/>
    <mergeCell ref="AS31:AU31"/>
    <mergeCell ref="AK33:AR33"/>
    <mergeCell ref="AV33:BA33"/>
    <mergeCell ref="AV32:BA32"/>
    <mergeCell ref="AS32:AU32"/>
    <mergeCell ref="AK18:AR18"/>
    <mergeCell ref="AS21:AU23"/>
    <mergeCell ref="AV19:BA19"/>
    <mergeCell ref="AV20:BA20"/>
    <mergeCell ref="AV21:BA21"/>
    <mergeCell ref="AO22:AR22"/>
    <mergeCell ref="AS18:AU18"/>
    <mergeCell ref="AV24:BA24"/>
    <mergeCell ref="AV25:BA25"/>
    <mergeCell ref="AV28:BA28"/>
    <mergeCell ref="AS28:AU28"/>
    <mergeCell ref="AM31:AR31"/>
    <mergeCell ref="AV26:BA26"/>
    <mergeCell ref="AV27:BA27"/>
    <mergeCell ref="G23:S23"/>
    <mergeCell ref="N18:S18"/>
    <mergeCell ref="G18:M18"/>
    <mergeCell ref="AI30:AJ31"/>
    <mergeCell ref="T30:AF30"/>
    <mergeCell ref="AI32:AJ41"/>
    <mergeCell ref="X37:Z38"/>
    <mergeCell ref="G30:R30"/>
    <mergeCell ref="G34:G36"/>
    <mergeCell ref="X36:AG36"/>
    <mergeCell ref="W40:X41"/>
    <mergeCell ref="G21:S22"/>
    <mergeCell ref="G20:S20"/>
    <mergeCell ref="G26:R26"/>
    <mergeCell ref="G24:R24"/>
    <mergeCell ref="G28:R28"/>
    <mergeCell ref="AG21:AG22"/>
    <mergeCell ref="T23:AF23"/>
    <mergeCell ref="T25:AF25"/>
    <mergeCell ref="T26:AF26"/>
    <mergeCell ref="T27:AG28"/>
    <mergeCell ref="T24:AF24"/>
    <mergeCell ref="J40:L40"/>
    <mergeCell ref="G37:G39"/>
    <mergeCell ref="AS17:AU17"/>
    <mergeCell ref="AK42:AR42"/>
    <mergeCell ref="AK35:AR35"/>
    <mergeCell ref="AV34:BA34"/>
    <mergeCell ref="AV35:BA35"/>
    <mergeCell ref="AK34:AR34"/>
    <mergeCell ref="AS34:AU34"/>
    <mergeCell ref="AS35:AU35"/>
    <mergeCell ref="AV39:BA39"/>
    <mergeCell ref="AV40:BA40"/>
    <mergeCell ref="AV37:BA37"/>
    <mergeCell ref="AS19:AU19"/>
    <mergeCell ref="AS20:AU20"/>
    <mergeCell ref="AV22:BA22"/>
    <mergeCell ref="AV23:BA23"/>
    <mergeCell ref="AM22:AN23"/>
    <mergeCell ref="AK21:AL23"/>
    <mergeCell ref="AV31:BA31"/>
    <mergeCell ref="AM30:AR30"/>
    <mergeCell ref="AK30:AL31"/>
    <mergeCell ref="AS24:AU24"/>
    <mergeCell ref="AS25:AU25"/>
    <mergeCell ref="AK19:AR19"/>
    <mergeCell ref="AK20:AR20"/>
    <mergeCell ref="AV29:BA29"/>
    <mergeCell ref="AK24:AL26"/>
    <mergeCell ref="AM24:AR24"/>
    <mergeCell ref="AM25:AR25"/>
    <mergeCell ref="AS26:AU26"/>
    <mergeCell ref="AK32:AR32"/>
    <mergeCell ref="AV30:BA30"/>
    <mergeCell ref="AH7:AQ7"/>
    <mergeCell ref="AH8:AQ8"/>
    <mergeCell ref="AR9:AT10"/>
    <mergeCell ref="AH9:AI10"/>
    <mergeCell ref="AJ10:AK10"/>
    <mergeCell ref="AL10:AM10"/>
    <mergeCell ref="AJ9:AM9"/>
    <mergeCell ref="AN9:AO9"/>
    <mergeCell ref="AU9:BB10"/>
    <mergeCell ref="AN10:AO10"/>
    <mergeCell ref="AP10:AQ10"/>
    <mergeCell ref="AP9:AQ9"/>
    <mergeCell ref="AI18:AJ29"/>
    <mergeCell ref="AO23:AR23"/>
    <mergeCell ref="AM26:AR26"/>
    <mergeCell ref="AK27:AN28"/>
    <mergeCell ref="AO27:AR27"/>
    <mergeCell ref="AO28:AR28"/>
    <mergeCell ref="AK29:AR29"/>
    <mergeCell ref="AS16:AU16"/>
    <mergeCell ref="Q9:AG9"/>
    <mergeCell ref="Q10:AG10"/>
    <mergeCell ref="Q11:AG11"/>
    <mergeCell ref="Q12:AG12"/>
    <mergeCell ref="AR11:BB11"/>
    <mergeCell ref="AH12:AQ12"/>
    <mergeCell ref="AH11:AQ11"/>
    <mergeCell ref="AR12:BB12"/>
    <mergeCell ref="AI16:AJ17"/>
    <mergeCell ref="AV16:BA16"/>
    <mergeCell ref="AV17:BA17"/>
    <mergeCell ref="G16:S16"/>
    <mergeCell ref="G17:S17"/>
    <mergeCell ref="K12:P12"/>
    <mergeCell ref="K11:P11"/>
    <mergeCell ref="K9:P10"/>
    <mergeCell ref="AM17:AR17"/>
    <mergeCell ref="G19:S19"/>
    <mergeCell ref="T29:AF29"/>
    <mergeCell ref="G27:S27"/>
    <mergeCell ref="G25:S25"/>
    <mergeCell ref="A7:J7"/>
    <mergeCell ref="A9:J9"/>
    <mergeCell ref="A12:J12"/>
    <mergeCell ref="A15:B72"/>
    <mergeCell ref="C29:F30"/>
    <mergeCell ref="C44:D55"/>
    <mergeCell ref="G53:O53"/>
    <mergeCell ref="G51:O51"/>
    <mergeCell ref="G50:O50"/>
    <mergeCell ref="C31:F33"/>
    <mergeCell ref="C40:F43"/>
    <mergeCell ref="H37:K37"/>
    <mergeCell ref="L37:W37"/>
    <mergeCell ref="P56:Q57"/>
    <mergeCell ref="P62:Q63"/>
    <mergeCell ref="P59:Q60"/>
    <mergeCell ref="G63:O63"/>
    <mergeCell ref="V60:W60"/>
    <mergeCell ref="C16:F20"/>
    <mergeCell ref="Q7:AG8"/>
    <mergeCell ref="E56:E58"/>
    <mergeCell ref="E59:E61"/>
    <mergeCell ref="G57:O57"/>
    <mergeCell ref="G59:O59"/>
    <mergeCell ref="G111:K111"/>
    <mergeCell ref="X102:AA103"/>
    <mergeCell ref="AN94:AO94"/>
    <mergeCell ref="AC92:AG92"/>
    <mergeCell ref="C107:F107"/>
    <mergeCell ref="T107:W107"/>
    <mergeCell ref="P108:W108"/>
    <mergeCell ref="AA111:AF111"/>
    <mergeCell ref="Q111:U111"/>
    <mergeCell ref="L111:P111"/>
    <mergeCell ref="V111:Z111"/>
    <mergeCell ref="AH107:AJ107"/>
    <mergeCell ref="AH108:AJ108"/>
    <mergeCell ref="AK106:AR106"/>
    <mergeCell ref="AK107:AR107"/>
    <mergeCell ref="AK108:AR108"/>
    <mergeCell ref="AK109:AR109"/>
    <mergeCell ref="C104:F104"/>
    <mergeCell ref="B96:E96"/>
    <mergeCell ref="P105:Q106"/>
    <mergeCell ref="N105:O106"/>
    <mergeCell ref="R102:S103"/>
    <mergeCell ref="T104:W104"/>
    <mergeCell ref="AH106:AJ106"/>
    <mergeCell ref="AS45:AU45"/>
    <mergeCell ref="AV46:BA46"/>
    <mergeCell ref="AK45:AR45"/>
    <mergeCell ref="AK46:AR46"/>
    <mergeCell ref="AV47:BA47"/>
    <mergeCell ref="AV48:BA48"/>
    <mergeCell ref="AV49:BA49"/>
    <mergeCell ref="AS50:AU50"/>
    <mergeCell ref="AS51:AU51"/>
    <mergeCell ref="AS46:AU46"/>
    <mergeCell ref="AV45:BA45"/>
    <mergeCell ref="AS48:AU48"/>
    <mergeCell ref="AK49:AR49"/>
    <mergeCell ref="AN81:AO81"/>
    <mergeCell ref="AN82:AO82"/>
    <mergeCell ref="AN83:AO83"/>
    <mergeCell ref="AN84:AO84"/>
    <mergeCell ref="Z65:AG65"/>
    <mergeCell ref="V59:W59"/>
    <mergeCell ref="X62:Y62"/>
    <mergeCell ref="U78:V78"/>
    <mergeCell ref="U79:V79"/>
    <mergeCell ref="AF59:AG60"/>
    <mergeCell ref="U83:V83"/>
    <mergeCell ref="U84:V84"/>
    <mergeCell ref="AB77:AG77"/>
    <mergeCell ref="U82:V82"/>
    <mergeCell ref="AO71:AO73"/>
    <mergeCell ref="W67:AG67"/>
    <mergeCell ref="J64:AG64"/>
    <mergeCell ref="V63:W63"/>
    <mergeCell ref="V62:W62"/>
    <mergeCell ref="R62:U62"/>
    <mergeCell ref="R63:S63"/>
    <mergeCell ref="X60:Y60"/>
    <mergeCell ref="Z59:AA60"/>
    <mergeCell ref="AF62:AG63"/>
    <mergeCell ref="AV55:BA55"/>
    <mergeCell ref="AV56:BA56"/>
    <mergeCell ref="AS55:AU55"/>
    <mergeCell ref="AS56:AU56"/>
    <mergeCell ref="AK56:AR56"/>
    <mergeCell ref="Z52:AC52"/>
    <mergeCell ref="V51:W51"/>
    <mergeCell ref="AD55:AG55"/>
    <mergeCell ref="AD52:AG52"/>
    <mergeCell ref="AK52:AR52"/>
    <mergeCell ref="AK53:AR53"/>
    <mergeCell ref="AS53:AU53"/>
    <mergeCell ref="AS54:AU54"/>
    <mergeCell ref="AV52:BA52"/>
    <mergeCell ref="Z56:AA57"/>
    <mergeCell ref="AF56:AG57"/>
    <mergeCell ref="AB56:AC57"/>
    <mergeCell ref="V56:W56"/>
    <mergeCell ref="X57:Y57"/>
    <mergeCell ref="AF53:AG54"/>
    <mergeCell ref="V50:W50"/>
    <mergeCell ref="AD47:AE48"/>
    <mergeCell ref="B90:C90"/>
    <mergeCell ref="B110:AF110"/>
    <mergeCell ref="X108:AA108"/>
    <mergeCell ref="X105:AA106"/>
    <mergeCell ref="C108:O108"/>
    <mergeCell ref="U92:V92"/>
    <mergeCell ref="O92:R92"/>
    <mergeCell ref="O89:R89"/>
    <mergeCell ref="T105:W106"/>
    <mergeCell ref="B94:C94"/>
    <mergeCell ref="U80:V80"/>
    <mergeCell ref="R105:S106"/>
    <mergeCell ref="B82:C82"/>
    <mergeCell ref="B86:C86"/>
    <mergeCell ref="J95:S96"/>
    <mergeCell ref="N102:O103"/>
    <mergeCell ref="C102:F102"/>
    <mergeCell ref="B95:E95"/>
    <mergeCell ref="C101:F101"/>
    <mergeCell ref="R99:S100"/>
    <mergeCell ref="N99:O100"/>
    <mergeCell ref="B99:B101"/>
    <mergeCell ref="L113:O113"/>
    <mergeCell ref="AV60:BA60"/>
    <mergeCell ref="AI59:BB59"/>
    <mergeCell ref="AI57:BB58"/>
    <mergeCell ref="AI68:BB69"/>
    <mergeCell ref="P68:V68"/>
    <mergeCell ref="AV62:BA62"/>
    <mergeCell ref="AV63:BA63"/>
    <mergeCell ref="W68:AG68"/>
    <mergeCell ref="AU95:BB95"/>
    <mergeCell ref="U93:V93"/>
    <mergeCell ref="U76:AL76"/>
    <mergeCell ref="U94:AA96"/>
    <mergeCell ref="W77:AA77"/>
    <mergeCell ref="B76:S76"/>
    <mergeCell ref="AB94:AG94"/>
    <mergeCell ref="AB95:AG95"/>
    <mergeCell ref="AB96:AG96"/>
    <mergeCell ref="AN80:AO80"/>
    <mergeCell ref="B87:C87"/>
    <mergeCell ref="B88:C88"/>
    <mergeCell ref="B89:C89"/>
    <mergeCell ref="B85:C85"/>
    <mergeCell ref="B84:C84"/>
    <mergeCell ref="Q114:T114"/>
    <mergeCell ref="AH103:AI103"/>
    <mergeCell ref="P99:Q100"/>
    <mergeCell ref="AH99:AM99"/>
    <mergeCell ref="AN99:AS99"/>
    <mergeCell ref="AT99:BA99"/>
    <mergeCell ref="AH100:AS100"/>
    <mergeCell ref="AT100:BA100"/>
    <mergeCell ref="AH101:AP101"/>
    <mergeCell ref="AQ101:AU101"/>
    <mergeCell ref="AV101:BA101"/>
    <mergeCell ref="AH102:AM102"/>
    <mergeCell ref="AN102:AU102"/>
    <mergeCell ref="AV102:BB102"/>
    <mergeCell ref="AH111:BB111"/>
    <mergeCell ref="AH112:AJ112"/>
    <mergeCell ref="AK112:AO112"/>
    <mergeCell ref="AP112:AS112"/>
    <mergeCell ref="AT112:AX112"/>
    <mergeCell ref="AY112:BB112"/>
    <mergeCell ref="X99:AA100"/>
    <mergeCell ref="T99:W100"/>
    <mergeCell ref="T102:W103"/>
    <mergeCell ref="T101:W101"/>
    <mergeCell ref="CY143:DB143"/>
    <mergeCell ref="AQ132:AS134"/>
    <mergeCell ref="W137:X137"/>
    <mergeCell ref="AP116:AX116"/>
    <mergeCell ref="AQ138:AR138"/>
    <mergeCell ref="AQ137:AR137"/>
    <mergeCell ref="AS137:AV137"/>
    <mergeCell ref="B131:X131"/>
    <mergeCell ref="B136:BB136"/>
    <mergeCell ref="B127:B129"/>
    <mergeCell ref="P132:S134"/>
    <mergeCell ref="T132:U134"/>
    <mergeCell ref="AT132:BB134"/>
    <mergeCell ref="AH132:AP134"/>
    <mergeCell ref="V132:AB134"/>
    <mergeCell ref="AC132:AG134"/>
    <mergeCell ref="AY116:BA116"/>
    <mergeCell ref="C126:F126"/>
    <mergeCell ref="C124:F124"/>
    <mergeCell ref="C125:F125"/>
    <mergeCell ref="C127:F127"/>
    <mergeCell ref="C121:F121"/>
    <mergeCell ref="C118:F118"/>
    <mergeCell ref="G129:T129"/>
    <mergeCell ref="L114:O114"/>
    <mergeCell ref="AN89:AO89"/>
    <mergeCell ref="AN86:AO86"/>
    <mergeCell ref="AN76:BB76"/>
    <mergeCell ref="AN90:AO90"/>
    <mergeCell ref="AM140:AN140"/>
    <mergeCell ref="AA138:AD138"/>
    <mergeCell ref="D137:V137"/>
    <mergeCell ref="Y141:BB141"/>
    <mergeCell ref="AY137:BB137"/>
    <mergeCell ref="AB112:AE112"/>
    <mergeCell ref="AB113:AE113"/>
    <mergeCell ref="AB114:AE114"/>
    <mergeCell ref="B117:AF117"/>
    <mergeCell ref="C119:F119"/>
    <mergeCell ref="B118:B120"/>
    <mergeCell ref="E112:F112"/>
    <mergeCell ref="E113:F113"/>
    <mergeCell ref="B112:D113"/>
    <mergeCell ref="Q113:T113"/>
    <mergeCell ref="V114:Y114"/>
    <mergeCell ref="AA115:AE115"/>
    <mergeCell ref="C122:F122"/>
    <mergeCell ref="C123:F123"/>
    <mergeCell ref="B114:F114"/>
    <mergeCell ref="V112:Y113"/>
    <mergeCell ref="C129:F129"/>
    <mergeCell ref="Y138:Z138"/>
    <mergeCell ref="Y137:Z137"/>
    <mergeCell ref="X126:BB126"/>
    <mergeCell ref="X129:BB129"/>
    <mergeCell ref="X118:BB119"/>
    <mergeCell ref="X121:BB122"/>
    <mergeCell ref="X124:BB125"/>
    <mergeCell ref="X127:BB128"/>
    <mergeCell ref="N132:O134"/>
    <mergeCell ref="AK138:AL138"/>
    <mergeCell ref="AW137:AX137"/>
    <mergeCell ref="U127:W128"/>
    <mergeCell ref="U120:W120"/>
    <mergeCell ref="U123:W123"/>
    <mergeCell ref="U126:W126"/>
    <mergeCell ref="U129:W129"/>
    <mergeCell ref="X120:BB120"/>
    <mergeCell ref="X123:BB123"/>
    <mergeCell ref="G118:T118"/>
    <mergeCell ref="G119:T119"/>
    <mergeCell ref="G124:T124"/>
    <mergeCell ref="G120:T120"/>
    <mergeCell ref="G121:T121"/>
    <mergeCell ref="G122:T122"/>
    <mergeCell ref="G123:T123"/>
    <mergeCell ref="G125:T125"/>
    <mergeCell ref="G126:T126"/>
    <mergeCell ref="G128:T128"/>
    <mergeCell ref="G127:T127"/>
    <mergeCell ref="B83:C83"/>
    <mergeCell ref="O88:R88"/>
    <mergeCell ref="O93:R93"/>
    <mergeCell ref="B121:B123"/>
    <mergeCell ref="B115:P116"/>
    <mergeCell ref="Q115:Z115"/>
    <mergeCell ref="B124:B126"/>
    <mergeCell ref="C120:F120"/>
    <mergeCell ref="U121:W122"/>
    <mergeCell ref="U118:W119"/>
    <mergeCell ref="U124:W125"/>
    <mergeCell ref="G114:J114"/>
    <mergeCell ref="B111:F111"/>
    <mergeCell ref="B105:B107"/>
    <mergeCell ref="C105:F105"/>
    <mergeCell ref="C106:F106"/>
    <mergeCell ref="C103:F103"/>
    <mergeCell ref="B98:AF98"/>
    <mergeCell ref="B102:B104"/>
    <mergeCell ref="C99:F99"/>
    <mergeCell ref="P102:Q103"/>
    <mergeCell ref="O85:R85"/>
    <mergeCell ref="U85:V85"/>
    <mergeCell ref="O86:R86"/>
    <mergeCell ref="O87:R87"/>
    <mergeCell ref="O90:R90"/>
    <mergeCell ref="X63:Y63"/>
    <mergeCell ref="AD62:AE63"/>
    <mergeCell ref="AD59:AE60"/>
    <mergeCell ref="Z62:AA63"/>
    <mergeCell ref="T65:Y65"/>
    <mergeCell ref="T63:U63"/>
    <mergeCell ref="T60:U60"/>
    <mergeCell ref="V57:W57"/>
    <mergeCell ref="C100:F100"/>
    <mergeCell ref="F95:H95"/>
    <mergeCell ref="U77:V77"/>
    <mergeCell ref="F64:I64"/>
    <mergeCell ref="R60:S60"/>
    <mergeCell ref="R59:U59"/>
    <mergeCell ref="O84:R84"/>
    <mergeCell ref="B79:G79"/>
    <mergeCell ref="B80:C80"/>
    <mergeCell ref="C56:D64"/>
    <mergeCell ref="AB59:AC60"/>
    <mergeCell ref="X59:Y59"/>
    <mergeCell ref="H77:S77"/>
    <mergeCell ref="O82:R82"/>
    <mergeCell ref="J80:N80"/>
    <mergeCell ref="O80:S80"/>
    <mergeCell ref="W70:AG70"/>
    <mergeCell ref="B77:G77"/>
    <mergeCell ref="P70:V70"/>
    <mergeCell ref="AN5:AZ5"/>
    <mergeCell ref="A6:BB6"/>
    <mergeCell ref="AI62:AM64"/>
    <mergeCell ref="AN62:AU62"/>
    <mergeCell ref="AN63:AU63"/>
    <mergeCell ref="AN64:AU64"/>
    <mergeCell ref="E5:S5"/>
    <mergeCell ref="AP71:AU73"/>
    <mergeCell ref="AV71:AV73"/>
    <mergeCell ref="AW71:BB73"/>
    <mergeCell ref="P67:V67"/>
    <mergeCell ref="F61:I61"/>
    <mergeCell ref="AI67:AJ67"/>
    <mergeCell ref="P69:V69"/>
    <mergeCell ref="W69:AG69"/>
    <mergeCell ref="F70:O70"/>
    <mergeCell ref="F69:O69"/>
    <mergeCell ref="F73:L73"/>
    <mergeCell ref="AV67:BB67"/>
    <mergeCell ref="T57:U57"/>
    <mergeCell ref="AD56:AE57"/>
    <mergeCell ref="AT67:AU67"/>
    <mergeCell ref="AV61:BA61"/>
    <mergeCell ref="AV64:BA64"/>
    <mergeCell ref="W5:AJ5"/>
    <mergeCell ref="A1:BB1"/>
    <mergeCell ref="AB93:AG93"/>
    <mergeCell ref="J31:Q31"/>
    <mergeCell ref="U31:Z31"/>
    <mergeCell ref="S31:T31"/>
    <mergeCell ref="H31:I31"/>
    <mergeCell ref="AI65:BB66"/>
    <mergeCell ref="B93:C93"/>
    <mergeCell ref="U86:V86"/>
    <mergeCell ref="U87:V87"/>
    <mergeCell ref="U88:V88"/>
    <mergeCell ref="O91:R91"/>
    <mergeCell ref="U89:V89"/>
    <mergeCell ref="U90:V90"/>
    <mergeCell ref="U91:V91"/>
    <mergeCell ref="B92:C92"/>
    <mergeCell ref="B91:C91"/>
    <mergeCell ref="B81:C81"/>
    <mergeCell ref="D80:I80"/>
    <mergeCell ref="AH77:AL77"/>
    <mergeCell ref="AX106:BB106"/>
    <mergeCell ref="AH98:AX98"/>
    <mergeCell ref="AN77:AO77"/>
    <mergeCell ref="AN78:AO78"/>
    <mergeCell ref="AN79:AO79"/>
    <mergeCell ref="AX108:BA108"/>
    <mergeCell ref="AX109:BA109"/>
    <mergeCell ref="L112:O112"/>
    <mergeCell ref="AX107:BA107"/>
    <mergeCell ref="AS107:AV107"/>
    <mergeCell ref="AB80:AB84"/>
    <mergeCell ref="AD80:AG80"/>
    <mergeCell ref="AD81:AG81"/>
    <mergeCell ref="AD82:AG82"/>
    <mergeCell ref="AD83:AG83"/>
    <mergeCell ref="AD84:AG84"/>
    <mergeCell ref="AN91:AO91"/>
    <mergeCell ref="AN92:AO92"/>
    <mergeCell ref="AN93:AO93"/>
    <mergeCell ref="AN87:AO87"/>
    <mergeCell ref="AN88:AO88"/>
    <mergeCell ref="U81:V81"/>
    <mergeCell ref="AU94:AW94"/>
    <mergeCell ref="AH105:BB105"/>
    <mergeCell ref="AP113:AS113"/>
    <mergeCell ref="AP114:AS114"/>
    <mergeCell ref="AP115:AS115"/>
    <mergeCell ref="AB99:AE100"/>
    <mergeCell ref="AB101:AF101"/>
    <mergeCell ref="AB102:AE103"/>
    <mergeCell ref="AB104:AF104"/>
    <mergeCell ref="AB105:AE106"/>
    <mergeCell ref="AB107:AF107"/>
    <mergeCell ref="AB108:AF108"/>
    <mergeCell ref="AS106:AW106"/>
    <mergeCell ref="AH109:AJ109"/>
    <mergeCell ref="AJ103:BB103"/>
    <mergeCell ref="G107:S107"/>
    <mergeCell ref="G106:M106"/>
    <mergeCell ref="G105:M105"/>
    <mergeCell ref="G104:S104"/>
    <mergeCell ref="G103:M103"/>
    <mergeCell ref="G102:M102"/>
    <mergeCell ref="G100:M100"/>
    <mergeCell ref="G99:M99"/>
    <mergeCell ref="G101:S101"/>
  </mergeCells>
  <phoneticPr fontId="37"/>
  <conditionalFormatting sqref="T17:AF20">
    <cfRule type="cellIs" dxfId="5" priority="5" operator="greaterThan">
      <formula>0</formula>
    </cfRule>
  </conditionalFormatting>
  <conditionalFormatting sqref="T21:AF22 T24:AF24 G24:R24 G26:R26 T26:AF26 G28:R28 G30:R30 T30:AF30 F73:L73 N73:S73 U73:Y73 AA73:AF73">
    <cfRule type="cellIs" dxfId="4" priority="4" operator="greaterThan">
      <formula>0</formula>
    </cfRule>
  </conditionalFormatting>
  <conditionalFormatting sqref="AV16:BA51">
    <cfRule type="cellIs" dxfId="3" priority="3" operator="greaterThan">
      <formula>0</formula>
    </cfRule>
  </conditionalFormatting>
  <conditionalFormatting sqref="AV54:BA55">
    <cfRule type="cellIs" dxfId="2" priority="2" operator="greaterThan">
      <formula>0</formula>
    </cfRule>
  </conditionalFormatting>
  <conditionalFormatting sqref="C16">
    <cfRule type="expression" dxfId="1" priority="1">
      <formula>$AV$48:$BA$48&gt;0</formula>
    </cfRule>
  </conditionalFormatting>
  <dataValidations count="7">
    <dataValidation type="whole" errorStyle="information" operator="greaterThanOrEqual" allowBlank="1" showInputMessage="1" showErrorMessage="1" errorTitle="赤字のときは０円" error="赤字のときは０円です。「0」と入力してください。" sqref="AV34">
      <formula1>0</formula1>
    </dataValidation>
    <dataValidation type="whole" allowBlank="1" showInputMessage="1" showErrorMessage="1" sqref="X45">
      <formula1>1</formula1>
      <formula2>31</formula2>
    </dataValidation>
    <dataValidation type="whole" allowBlank="1" showInputMessage="1" showErrorMessage="1" sqref="V45">
      <formula1>1</formula1>
      <formula2>12</formula2>
    </dataValidation>
    <dataValidation type="whole" allowBlank="1" showInputMessage="1" showErrorMessage="1" sqref="T45">
      <formula1>1</formula1>
      <formula2>2020</formula2>
    </dataValidation>
    <dataValidation allowBlank="1" showErrorMessage="1" promptTitle="フリガナの記載について" prompt="フリガナは印刷後に記載してください。" sqref="Q11:AG11"/>
    <dataValidation allowBlank="1" showErrorMessage="1" promptTitle="氏名の記載について" prompt="氏名は印刷後に記載してください。" sqref="Q12:AG12"/>
    <dataValidation allowBlank="1" showErrorMessage="1" promptTitle="代理人欄について" prompt="本人以外が作成して提出する場合、印刷後に代理人欄に氏名と続柄を記載してください。税理士に委任した場合を除き、原則、同一世帯の家族のみ代理で提出できます。" sqref="AH13"/>
  </dataValidations>
  <hyperlinks>
    <hyperlink ref="E5" location="はじめに!A1" display="個人情報の入力に戻る場合はこちら"/>
    <hyperlink ref="W5" location="収入1!A1" display="給与・公的年金収入を入力する方はこちら"/>
    <hyperlink ref="AN5" location="社会保険料・生命保険料!A1" display="社会保険料・生命保険料・地震保険料控除を申告する方はこちら。"/>
    <hyperlink ref="W5:AJ5" location="給与・年金!A1" display="収入金額を修正する方はこちら"/>
    <hyperlink ref="AN5:AZ5" location="社会保険・生命・地震保険!A1" display="控除金額を修正する方はこちら"/>
  </hyperlinks>
  <pageMargins left="0.7" right="0.7" top="0.75" bottom="0.75" header="0.3" footer="0.3"/>
  <pageSetup paperSize="9" scale="78" fitToHeight="0" orientation="portrait" blackAndWhite="1" r:id="rId1"/>
  <headerFooter alignWithMargins="0"/>
  <rowBreaks count="2" manualBreakCount="2">
    <brk id="75" min="18" max="53" man="1"/>
    <brk id="144" min="18" max="5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showRowColHeaders="0" topLeftCell="A9" zoomScale="115" zoomScaleNormal="115" workbookViewId="0">
      <selection activeCell="G17" sqref="G17:H19"/>
    </sheetView>
  </sheetViews>
  <sheetFormatPr defaultColWidth="0" defaultRowHeight="15.75" customHeight="1" zeroHeight="1"/>
  <cols>
    <col min="1" max="1" width="3.25" style="751" customWidth="1"/>
    <col min="2" max="2" width="6" style="751" customWidth="1"/>
    <col min="3" max="4" width="9" style="751" customWidth="1"/>
    <col min="5" max="5" width="3.25" style="751" customWidth="1"/>
    <col min="6" max="6" width="17" style="751" bestFit="1" customWidth="1"/>
    <col min="7" max="12" width="13.25" style="751" customWidth="1"/>
    <col min="13" max="13" width="9" style="751" customWidth="1"/>
    <col min="14" max="16" width="9" style="751" hidden="1" customWidth="1"/>
    <col min="17" max="17" width="12.375" style="751" hidden="1" customWidth="1"/>
    <col min="18" max="16384" width="9" style="751" hidden="1"/>
  </cols>
  <sheetData>
    <row r="1" spans="1:21" s="750" customFormat="1" ht="15.95" customHeight="1">
      <c r="A1" s="745"/>
      <c r="B1" s="746" t="s">
        <v>1390</v>
      </c>
      <c r="C1" s="747" t="s">
        <v>1391</v>
      </c>
      <c r="D1" s="748"/>
      <c r="E1" s="748"/>
      <c r="F1" s="748"/>
      <c r="G1" s="748"/>
      <c r="H1" s="745"/>
      <c r="I1" s="745"/>
      <c r="J1" s="745"/>
      <c r="K1" s="745"/>
      <c r="L1" s="749"/>
      <c r="M1" s="749"/>
      <c r="N1" s="749"/>
      <c r="O1" s="749"/>
      <c r="P1" s="749"/>
      <c r="Q1" s="749"/>
      <c r="R1" s="749"/>
      <c r="S1" s="749"/>
      <c r="T1" s="749"/>
      <c r="U1" s="749"/>
    </row>
    <row r="2" spans="1:21" ht="15.75" customHeight="1">
      <c r="C2" s="760" t="s">
        <v>447</v>
      </c>
      <c r="D2" s="756" t="s">
        <v>1408</v>
      </c>
      <c r="E2" s="756"/>
      <c r="F2" s="756"/>
    </row>
    <row r="3" spans="1:21" ht="6.95" customHeight="1">
      <c r="T3" s="768" t="s">
        <v>1419</v>
      </c>
    </row>
    <row r="4" spans="1:21" ht="15.75" customHeight="1">
      <c r="C4" s="760" t="s">
        <v>447</v>
      </c>
      <c r="D4" s="757" t="s">
        <v>1409</v>
      </c>
      <c r="E4" s="757"/>
      <c r="F4" s="757"/>
    </row>
    <row r="5" spans="1:21" ht="6.95" customHeight="1"/>
    <row r="6" spans="1:21" s="750" customFormat="1" ht="15.95" customHeight="1">
      <c r="A6" s="745"/>
      <c r="B6" s="746" t="s">
        <v>1325</v>
      </c>
      <c r="C6" s="747" t="s">
        <v>1326</v>
      </c>
      <c r="D6" s="748"/>
      <c r="E6" s="748"/>
      <c r="F6" s="748"/>
      <c r="G6" s="748"/>
      <c r="H6" s="745"/>
      <c r="I6" s="745"/>
      <c r="J6" s="745"/>
      <c r="K6" s="745"/>
      <c r="L6" s="749"/>
      <c r="M6" s="749"/>
      <c r="N6" s="749"/>
      <c r="O6" s="749"/>
      <c r="P6" s="749"/>
      <c r="Q6" s="749"/>
      <c r="R6" s="749"/>
      <c r="S6" s="749"/>
      <c r="T6" s="749"/>
      <c r="U6" s="749"/>
    </row>
    <row r="7" spans="1:21">
      <c r="C7" s="752" t="s">
        <v>1412</v>
      </c>
    </row>
    <row r="8" spans="1:21" ht="21">
      <c r="C8" s="1668">
        <f>計算用資料!L261</f>
        <v>0</v>
      </c>
      <c r="D8" s="1669"/>
      <c r="E8" s="751" t="s">
        <v>184</v>
      </c>
    </row>
    <row r="9" spans="1:21">
      <c r="C9" s="751" t="s">
        <v>1428</v>
      </c>
    </row>
    <row r="10" spans="1:21">
      <c r="C10" s="751" t="s">
        <v>1429</v>
      </c>
      <c r="K10" s="769" t="s">
        <v>1421</v>
      </c>
    </row>
    <row r="11" spans="1:21">
      <c r="C11" s="1670" t="str">
        <f>計算用資料!H264</f>
        <v/>
      </c>
      <c r="D11" s="1670"/>
      <c r="E11" s="1670"/>
      <c r="F11" s="1670"/>
      <c r="G11" s="1670"/>
      <c r="H11" s="1670"/>
      <c r="I11" s="1670"/>
      <c r="J11" s="1670"/>
      <c r="K11" s="1670"/>
      <c r="L11" s="1670"/>
      <c r="M11" s="1670"/>
      <c r="N11" s="766"/>
      <c r="O11" s="766"/>
      <c r="P11" s="766"/>
      <c r="Q11" s="766"/>
    </row>
    <row r="12" spans="1:21">
      <c r="C12" s="1670"/>
      <c r="D12" s="1670"/>
      <c r="E12" s="1670"/>
      <c r="F12" s="1670"/>
      <c r="G12" s="1670"/>
      <c r="H12" s="1670"/>
      <c r="I12" s="1670"/>
      <c r="J12" s="1670"/>
      <c r="K12" s="1670"/>
      <c r="L12" s="1670"/>
      <c r="M12" s="1670"/>
      <c r="N12" s="766"/>
      <c r="O12" s="766"/>
      <c r="P12" s="766"/>
      <c r="Q12" s="766"/>
    </row>
    <row r="13" spans="1:21" s="750" customFormat="1" ht="15.95" customHeight="1">
      <c r="A13" s="745"/>
      <c r="B13" s="746" t="s">
        <v>200</v>
      </c>
      <c r="C13" s="747" t="s">
        <v>1346</v>
      </c>
      <c r="D13" s="748"/>
      <c r="E13" s="748"/>
      <c r="F13" s="748"/>
      <c r="G13" s="748"/>
      <c r="H13" s="745"/>
      <c r="I13" s="745"/>
      <c r="J13" s="745"/>
      <c r="K13" s="745"/>
      <c r="L13" s="749"/>
      <c r="M13" s="749"/>
      <c r="N13" s="749"/>
      <c r="O13" s="749"/>
      <c r="P13" s="749"/>
      <c r="Q13" s="749"/>
      <c r="R13" s="749"/>
      <c r="S13" s="749"/>
      <c r="T13" s="749"/>
      <c r="U13" s="749"/>
    </row>
    <row r="14" spans="1:21" ht="6.75" customHeight="1">
      <c r="A14" s="758"/>
      <c r="B14" s="758"/>
      <c r="C14" s="758"/>
      <c r="D14" s="759"/>
      <c r="E14" s="759"/>
      <c r="F14" s="759"/>
      <c r="G14" s="758"/>
      <c r="H14" s="758"/>
      <c r="I14" s="758"/>
      <c r="J14" s="758"/>
      <c r="K14" s="758"/>
      <c r="L14" s="758"/>
      <c r="M14" s="758"/>
      <c r="N14" s="758"/>
    </row>
    <row r="15" spans="1:21" ht="15.75" customHeight="1">
      <c r="C15" s="781"/>
      <c r="D15" s="776"/>
      <c r="E15" s="776"/>
      <c r="F15" s="777"/>
      <c r="G15" s="1657" t="s">
        <v>1415</v>
      </c>
      <c r="H15" s="1657"/>
      <c r="I15" s="1657"/>
      <c r="J15" s="1656" t="s">
        <v>1414</v>
      </c>
      <c r="K15" s="1656"/>
      <c r="L15" s="1656"/>
    </row>
    <row r="16" spans="1:21" ht="15.75" customHeight="1" thickBot="1">
      <c r="C16" s="782"/>
      <c r="D16" s="778"/>
      <c r="E16" s="779"/>
      <c r="F16" s="780"/>
      <c r="G16" s="786" t="s">
        <v>1347</v>
      </c>
      <c r="H16" s="786" t="s">
        <v>1357</v>
      </c>
      <c r="I16" s="786" t="s">
        <v>182</v>
      </c>
      <c r="J16" s="786" t="s">
        <v>1328</v>
      </c>
      <c r="K16" s="786" t="s">
        <v>1329</v>
      </c>
      <c r="L16" s="786" t="s">
        <v>182</v>
      </c>
    </row>
    <row r="17" spans="3:12" ht="15.75" customHeight="1" thickTop="1">
      <c r="C17" s="1679" t="s">
        <v>1348</v>
      </c>
      <c r="D17" s="1679"/>
      <c r="E17" s="1679"/>
      <c r="F17" s="783" t="s">
        <v>1392</v>
      </c>
      <c r="G17" s="1658"/>
      <c r="H17" s="1659"/>
      <c r="I17" s="775">
        <f>計算用資料!C261</f>
        <v>0</v>
      </c>
      <c r="J17" s="1662" t="s">
        <v>1416</v>
      </c>
      <c r="K17" s="1663"/>
      <c r="L17" s="1664"/>
    </row>
    <row r="18" spans="3:12" ht="15.75" customHeight="1">
      <c r="C18" s="1680" t="s">
        <v>1349</v>
      </c>
      <c r="D18" s="1681"/>
      <c r="E18" s="1682"/>
      <c r="F18" s="784" t="s">
        <v>1393</v>
      </c>
      <c r="G18" s="1658"/>
      <c r="H18" s="1659"/>
      <c r="I18" s="762">
        <f>計算用資料!D261</f>
        <v>430000</v>
      </c>
      <c r="J18" s="1662"/>
      <c r="K18" s="1663"/>
      <c r="L18" s="1664"/>
    </row>
    <row r="19" spans="3:12" ht="15.75" customHeight="1">
      <c r="C19" s="1680" t="s">
        <v>1350</v>
      </c>
      <c r="D19" s="1681"/>
      <c r="E19" s="1682"/>
      <c r="F19" s="784" t="s">
        <v>1394</v>
      </c>
      <c r="G19" s="1660"/>
      <c r="H19" s="1661"/>
      <c r="I19" s="762">
        <f>計算用資料!E261</f>
        <v>0</v>
      </c>
      <c r="J19" s="1662"/>
      <c r="K19" s="1663"/>
      <c r="L19" s="1664"/>
    </row>
    <row r="20" spans="3:12" ht="15.75" customHeight="1">
      <c r="C20" s="1671" t="s">
        <v>1351</v>
      </c>
      <c r="D20" s="1672"/>
      <c r="E20" s="1683" t="s">
        <v>1420</v>
      </c>
      <c r="F20" s="787" t="s">
        <v>1395</v>
      </c>
      <c r="G20" s="790" t="s">
        <v>1358</v>
      </c>
      <c r="H20" s="790" t="s">
        <v>1359</v>
      </c>
      <c r="I20" s="790" t="s">
        <v>1360</v>
      </c>
      <c r="J20" s="1662"/>
      <c r="K20" s="1663"/>
      <c r="L20" s="1664"/>
    </row>
    <row r="21" spans="3:12" ht="15.75" customHeight="1">
      <c r="C21" s="1673" t="s">
        <v>1352</v>
      </c>
      <c r="D21" s="1674"/>
      <c r="E21" s="1684"/>
      <c r="F21" s="788" t="s">
        <v>1399</v>
      </c>
      <c r="G21" s="791">
        <f>計算用資料!C285</f>
        <v>0</v>
      </c>
      <c r="H21" s="791">
        <f>計算用資料!D285</f>
        <v>0</v>
      </c>
      <c r="I21" s="791">
        <f>計算用資料!E285</f>
        <v>0</v>
      </c>
      <c r="J21" s="1662"/>
      <c r="K21" s="1663"/>
      <c r="L21" s="1664"/>
    </row>
    <row r="22" spans="3:12" ht="15.75" customHeight="1">
      <c r="C22" s="1673" t="s">
        <v>1353</v>
      </c>
      <c r="D22" s="1674"/>
      <c r="E22" s="1684"/>
      <c r="F22" s="788" t="s">
        <v>1396</v>
      </c>
      <c r="G22" s="791">
        <f>計算用資料!C288</f>
        <v>0</v>
      </c>
      <c r="H22" s="791">
        <f>計算用資料!D288</f>
        <v>0</v>
      </c>
      <c r="I22" s="791">
        <f>計算用資料!E288</f>
        <v>0</v>
      </c>
      <c r="J22" s="1662"/>
      <c r="K22" s="1663"/>
      <c r="L22" s="1664"/>
    </row>
    <row r="23" spans="3:12" ht="15.75" customHeight="1">
      <c r="C23" s="1673" t="s">
        <v>1389</v>
      </c>
      <c r="D23" s="1674"/>
      <c r="E23" s="1684"/>
      <c r="F23" s="788" t="s">
        <v>1397</v>
      </c>
      <c r="G23" s="791">
        <f>計算用資料!C301</f>
        <v>0</v>
      </c>
      <c r="H23" s="791">
        <f>計算用資料!D301</f>
        <v>0</v>
      </c>
      <c r="I23" s="792"/>
      <c r="J23" s="1665"/>
      <c r="K23" s="1666"/>
      <c r="L23" s="1667"/>
    </row>
    <row r="24" spans="3:12" ht="15.75" customHeight="1">
      <c r="C24" s="1673" t="s">
        <v>1354</v>
      </c>
      <c r="D24" s="1674"/>
      <c r="E24" s="1684"/>
      <c r="F24" s="788" t="s">
        <v>1398</v>
      </c>
      <c r="G24" s="793">
        <f>計算用資料!D298</f>
        <v>0</v>
      </c>
      <c r="H24" s="793">
        <f>計算用資料!E298</f>
        <v>0</v>
      </c>
      <c r="I24" s="794"/>
      <c r="J24" s="796">
        <f>計算用資料!D297</f>
        <v>0</v>
      </c>
      <c r="K24" s="796">
        <f>計算用資料!E297</f>
        <v>0</v>
      </c>
      <c r="L24" s="797"/>
    </row>
    <row r="25" spans="3:12" ht="15.75" customHeight="1">
      <c r="C25" s="1692" t="s">
        <v>1355</v>
      </c>
      <c r="D25" s="1693"/>
      <c r="E25" s="1684"/>
      <c r="F25" s="789" t="s">
        <v>1400</v>
      </c>
      <c r="G25" s="795">
        <f>計算用資料!H307</f>
        <v>0</v>
      </c>
      <c r="H25" s="795">
        <f>計算用資料!I307</f>
        <v>0</v>
      </c>
      <c r="I25" s="795">
        <f>計算用資料!G307</f>
        <v>0</v>
      </c>
      <c r="J25" s="795">
        <f>計算用資料!D307</f>
        <v>0</v>
      </c>
      <c r="K25" s="795">
        <f>計算用資料!E307</f>
        <v>0</v>
      </c>
      <c r="L25" s="795">
        <f>計算用資料!C307</f>
        <v>0</v>
      </c>
    </row>
    <row r="26" spans="3:12" ht="15.75" customHeight="1">
      <c r="C26" s="1680" t="s">
        <v>1310</v>
      </c>
      <c r="D26" s="1681"/>
      <c r="E26" s="1685"/>
      <c r="F26" s="784" t="s">
        <v>1401</v>
      </c>
      <c r="G26" s="764">
        <f>計算用資料!G313</f>
        <v>0</v>
      </c>
      <c r="H26" s="764">
        <f>計算用資料!H313</f>
        <v>0</v>
      </c>
      <c r="I26" s="764">
        <f>計算用資料!I313</f>
        <v>0</v>
      </c>
      <c r="J26" s="763">
        <f>計算用資料!C313</f>
        <v>0</v>
      </c>
      <c r="K26" s="763">
        <f>計算用資料!D313</f>
        <v>0</v>
      </c>
      <c r="L26" s="763">
        <f>計算用資料!E313</f>
        <v>0</v>
      </c>
    </row>
    <row r="27" spans="3:12" ht="15.75" customHeight="1" thickBot="1">
      <c r="C27" s="1686" t="s">
        <v>1361</v>
      </c>
      <c r="D27" s="1687"/>
      <c r="E27" s="1688"/>
      <c r="F27" s="785" t="s">
        <v>429</v>
      </c>
      <c r="G27" s="774" t="str">
        <f>計算用資料!C310</f>
        <v>非課税</v>
      </c>
      <c r="H27" s="774" t="str">
        <f>計算用資料!D310</f>
        <v>非課税</v>
      </c>
      <c r="I27" s="774" t="str">
        <f>計算用資料!E310</f>
        <v>非課税</v>
      </c>
      <c r="J27" s="774" t="str">
        <f>計算用資料!C310</f>
        <v>非課税</v>
      </c>
      <c r="K27" s="774" t="str">
        <f>計算用資料!D310</f>
        <v>非課税</v>
      </c>
      <c r="L27" s="774" t="str">
        <f>計算用資料!E310</f>
        <v>非課税</v>
      </c>
    </row>
    <row r="28" spans="3:12" ht="15.75" customHeight="1" thickTop="1">
      <c r="C28" s="1689" t="s">
        <v>1356</v>
      </c>
      <c r="D28" s="1690"/>
      <c r="E28" s="1691"/>
      <c r="F28" s="772" t="s">
        <v>1402</v>
      </c>
      <c r="G28" s="773" t="str">
        <f>計算用資料!G317</f>
        <v>非課税</v>
      </c>
      <c r="H28" s="773" t="str">
        <f>計算用資料!H317</f>
        <v>非課税</v>
      </c>
      <c r="I28" s="773" t="str">
        <f>計算用資料!I317</f>
        <v>非課税</v>
      </c>
      <c r="J28" s="773" t="str">
        <f>計算用資料!C317</f>
        <v>非課税</v>
      </c>
      <c r="K28" s="773" t="str">
        <f>計算用資料!D317</f>
        <v>非課税</v>
      </c>
      <c r="L28" s="773" t="str">
        <f>計算用資料!E317</f>
        <v>非課税</v>
      </c>
    </row>
    <row r="29" spans="3:12" ht="31.5" customHeight="1">
      <c r="G29" s="1677" t="s">
        <v>1413</v>
      </c>
      <c r="H29" s="1678"/>
      <c r="I29" s="765">
        <f>計算用資料!H297</f>
        <v>0</v>
      </c>
      <c r="J29" s="1675" t="str">
        <f>計算用資料!K304</f>
        <v/>
      </c>
      <c r="K29" s="1676"/>
      <c r="L29" s="1676"/>
    </row>
    <row r="30" spans="3:12" ht="15.75" customHeight="1">
      <c r="C30" s="751" t="s">
        <v>1430</v>
      </c>
    </row>
    <row r="31" spans="3:12" ht="15.75" customHeight="1">
      <c r="C31" s="751" t="s">
        <v>1431</v>
      </c>
    </row>
    <row r="32" spans="3:12" ht="15.75" customHeight="1">
      <c r="C32" s="751" t="s">
        <v>1462</v>
      </c>
    </row>
    <row r="33" ht="15.75" customHeight="1"/>
  </sheetData>
  <sheetProtection algorithmName="SHA-512" hashValue="UXz5ZMfct4HGoWD3T3b3eQbrPyRQymJXEj0GuxTtXbhydq4Ns3wjnjBtJh7EXW1PliVziuJdq5gLoZ3hPrWAfA==" saltValue="VT2p2PMF8pf5/L3hClNlkQ==" spinCount="100000" sheet="1" objects="1" scenarios="1"/>
  <mergeCells count="21">
    <mergeCell ref="J29:L29"/>
    <mergeCell ref="G29:H29"/>
    <mergeCell ref="C17:E17"/>
    <mergeCell ref="C18:E18"/>
    <mergeCell ref="C19:E19"/>
    <mergeCell ref="E20:E26"/>
    <mergeCell ref="C27:E27"/>
    <mergeCell ref="C28:E28"/>
    <mergeCell ref="C26:D26"/>
    <mergeCell ref="C24:D24"/>
    <mergeCell ref="C25:D25"/>
    <mergeCell ref="J15:L15"/>
    <mergeCell ref="G15:I15"/>
    <mergeCell ref="G17:H19"/>
    <mergeCell ref="J17:L23"/>
    <mergeCell ref="C8:D8"/>
    <mergeCell ref="C11:M12"/>
    <mergeCell ref="C20:D20"/>
    <mergeCell ref="C21:D21"/>
    <mergeCell ref="C22:D22"/>
    <mergeCell ref="C23:D23"/>
  </mergeCells>
  <phoneticPr fontId="37"/>
  <dataValidations count="2">
    <dataValidation type="list" allowBlank="1" showInputMessage="1" showErrorMessage="1" sqref="C2">
      <formula1>"　,女,男"</formula1>
    </dataValidation>
    <dataValidation type="list" allowBlank="1" showInputMessage="1" showErrorMessage="1" sqref="C4">
      <formula1>"　,本人"</formula1>
    </dataValidation>
  </dataValidations>
  <hyperlinks>
    <hyperlink ref="K10" location="医療費・寄附金!A1" display="医療費・寄附金!A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56AF3AAB-93E2-43FD-8895-59EDEEBF6380}">
            <xm:f>計算用資料!$K$261&gt;35</xm:f>
            <x14:dxf>
              <fill>
                <patternFill>
                  <bgColor theme="8" tint="0.79998168889431442"/>
                </patternFill>
              </fill>
              <border>
                <left style="thin">
                  <color auto="1"/>
                </left>
                <right style="thin">
                  <color auto="1"/>
                </right>
                <top style="thin">
                  <color auto="1"/>
                </top>
                <bottom style="thin">
                  <color auto="1"/>
                </bottom>
              </border>
            </x14:dxf>
          </x14:cfRule>
          <xm:sqref>J29:L29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0"/>
  <sheetViews>
    <sheetView topLeftCell="A269" zoomScale="70" zoomScaleNormal="70" workbookViewId="0">
      <selection activeCell="G294" sqref="G294"/>
    </sheetView>
  </sheetViews>
  <sheetFormatPr defaultColWidth="0" defaultRowHeight="14.25" zeroHeight="1"/>
  <cols>
    <col min="1" max="1" width="3.375" style="45" customWidth="1"/>
    <col min="2" max="2" width="10.25" style="45" customWidth="1"/>
    <col min="3" max="3" width="22.75" style="39" customWidth="1"/>
    <col min="4" max="4" width="21.125" style="39" customWidth="1"/>
    <col min="5" max="5" width="22.875" style="40" customWidth="1"/>
    <col min="6" max="6" width="25" style="41" customWidth="1"/>
    <col min="7" max="7" width="21.125" style="40" customWidth="1"/>
    <col min="8" max="8" width="21.25" style="39" customWidth="1"/>
    <col min="9" max="9" width="23.75" style="39" customWidth="1"/>
    <col min="10" max="10" width="22.25" style="39" customWidth="1"/>
    <col min="11" max="11" width="21.25" style="39" customWidth="1"/>
    <col min="12" max="12" width="25.875" style="39" customWidth="1"/>
    <col min="13" max="13" width="30.125" style="45" customWidth="1"/>
    <col min="14" max="14" width="17.875" style="45" customWidth="1"/>
    <col min="15" max="16" width="17.75" style="45" bestFit="1" customWidth="1"/>
    <col min="17" max="17" width="8.5" style="45" bestFit="1" customWidth="1"/>
    <col min="18" max="18" width="9" style="45" customWidth="1"/>
    <col min="19" max="19" width="14" style="45" customWidth="1"/>
    <col min="20" max="20" width="40.125" style="45" bestFit="1" customWidth="1"/>
    <col min="21" max="21" width="54.375" style="45" customWidth="1"/>
    <col min="22" max="22" width="10" style="45" customWidth="1"/>
    <col min="23" max="23" width="0" style="45" hidden="1" customWidth="1"/>
    <col min="24" max="16384" width="10" style="45" hidden="1"/>
  </cols>
  <sheetData>
    <row r="1" spans="1:13" s="643" customFormat="1">
      <c r="A1" s="712">
        <v>0</v>
      </c>
      <c r="B1" s="712" t="s">
        <v>1197</v>
      </c>
      <c r="C1" s="711">
        <v>20240101</v>
      </c>
      <c r="D1" s="713" t="s">
        <v>1201</v>
      </c>
      <c r="E1" s="645"/>
      <c r="F1" s="646"/>
      <c r="G1" s="645"/>
      <c r="H1" s="644"/>
      <c r="I1" s="644"/>
      <c r="J1" s="644"/>
      <c r="K1" s="644"/>
      <c r="L1" s="644"/>
    </row>
    <row r="2" spans="1:13" s="101" customFormat="1">
      <c r="A2" s="101">
        <v>1</v>
      </c>
      <c r="B2" s="97" t="s">
        <v>780</v>
      </c>
      <c r="C2" s="97"/>
      <c r="D2" s="97"/>
      <c r="E2" s="99"/>
      <c r="F2" s="100"/>
      <c r="G2" s="99"/>
      <c r="H2" s="97"/>
      <c r="I2" s="97"/>
      <c r="J2" s="97"/>
      <c r="K2" s="97"/>
      <c r="L2" s="97"/>
    </row>
    <row r="3" spans="1:13">
      <c r="B3" s="39" t="s">
        <v>448</v>
      </c>
      <c r="H3" s="198"/>
      <c r="K3" s="40"/>
      <c r="L3" s="40"/>
      <c r="M3" s="710"/>
    </row>
    <row r="4" spans="1:13">
      <c r="B4" s="45" t="s">
        <v>842</v>
      </c>
      <c r="C4" s="45" t="s">
        <v>313</v>
      </c>
      <c r="D4" s="45"/>
      <c r="E4" s="45"/>
      <c r="F4" s="45"/>
      <c r="G4" s="45"/>
      <c r="H4" s="45"/>
      <c r="K4" s="40"/>
      <c r="L4" s="40"/>
      <c r="M4" s="710"/>
    </row>
    <row r="5" spans="1:13">
      <c r="C5" s="48" t="s">
        <v>449</v>
      </c>
      <c r="D5" s="49" t="s">
        <v>149</v>
      </c>
      <c r="E5" s="50" t="s">
        <v>144</v>
      </c>
      <c r="F5" s="49" t="s">
        <v>140</v>
      </c>
      <c r="G5" s="49" t="s">
        <v>546</v>
      </c>
      <c r="H5" s="49" t="s">
        <v>547</v>
      </c>
      <c r="L5" s="40"/>
      <c r="M5" s="710"/>
    </row>
    <row r="6" spans="1:13">
      <c r="C6" s="51" t="str">
        <f>IF(はじめに!D15&lt;1000,はじめに!C15&amp;はじめに!D15,"")</f>
        <v>選択してください</v>
      </c>
      <c r="D6" s="52" t="str">
        <f>IF(OR(はじめに!C15="西暦",はじめに!D15&gt;=1000),はじめに!D15,"")</f>
        <v/>
      </c>
      <c r="E6" s="98">
        <f>はじめに!E15</f>
        <v>0</v>
      </c>
      <c r="F6" s="98">
        <f>はじめに!F15</f>
        <v>0</v>
      </c>
      <c r="G6" s="49" t="str">
        <f>C6&amp;D6&amp;"年"&amp;E6&amp;"月"&amp;F6&amp;"日"</f>
        <v>選択してください年0月0日</v>
      </c>
      <c r="H6" s="53" t="str">
        <f>IFERROR(VALUE(TEXT(DATEVALUE(G6),"yyyymmdd")),"")</f>
        <v/>
      </c>
      <c r="K6" s="45"/>
    </row>
    <row r="7" spans="1:13" ht="71.25">
      <c r="C7" s="196" t="s">
        <v>782</v>
      </c>
      <c r="D7" s="197" t="s">
        <v>783</v>
      </c>
      <c r="E7" s="196" t="s">
        <v>785</v>
      </c>
      <c r="F7" s="196" t="s">
        <v>785</v>
      </c>
      <c r="G7" s="196" t="s">
        <v>784</v>
      </c>
      <c r="H7" s="197" t="s">
        <v>781</v>
      </c>
      <c r="I7" s="648" t="s">
        <v>996</v>
      </c>
      <c r="J7" s="45"/>
      <c r="K7" s="715"/>
      <c r="L7" s="715"/>
    </row>
    <row r="8" spans="1:13" ht="28.5">
      <c r="B8" s="650" t="s">
        <v>843</v>
      </c>
      <c r="C8" s="650" t="s">
        <v>844</v>
      </c>
      <c r="D8" s="285" t="str">
        <f>IF(F129&gt;0,"個人番号が重複しています。確認してください。","")</f>
        <v>個人番号が重複しています。確認してください。</v>
      </c>
      <c r="E8" s="260" t="s">
        <v>929</v>
      </c>
      <c r="F8" s="196"/>
      <c r="G8" s="196"/>
      <c r="H8" s="197"/>
      <c r="I8" s="196"/>
      <c r="J8" s="45"/>
      <c r="K8" s="45"/>
    </row>
    <row r="9" spans="1:13" ht="85.5">
      <c r="B9" s="261" t="s">
        <v>842</v>
      </c>
      <c r="C9" s="647" t="s">
        <v>845</v>
      </c>
      <c r="D9" s="803" t="str">
        <f>IF(AND(C6="選択してください",H6=""),"",IF(H6="","生年月日を正しく入力してください。入力後にこの表示が出ている場合、入力が誤っている可能性があります。",""))</f>
        <v/>
      </c>
      <c r="E9" s="196" t="s">
        <v>1467</v>
      </c>
      <c r="I9" s="196"/>
      <c r="J9" s="45"/>
      <c r="K9" s="45"/>
      <c r="L9" s="45"/>
    </row>
    <row r="10" spans="1:13">
      <c r="C10" s="196"/>
      <c r="D10" s="197"/>
      <c r="E10" s="196"/>
      <c r="F10" s="196"/>
      <c r="G10" s="196"/>
      <c r="H10" s="197"/>
      <c r="I10" s="196"/>
      <c r="J10" s="45"/>
      <c r="K10" s="45"/>
      <c r="L10" s="45"/>
    </row>
    <row r="11" spans="1:13" s="101" customFormat="1">
      <c r="A11" s="101">
        <v>2</v>
      </c>
      <c r="B11" s="101" t="s">
        <v>454</v>
      </c>
      <c r="C11" s="102"/>
      <c r="D11" s="103"/>
    </row>
    <row r="12" spans="1:13" s="101" customFormat="1">
      <c r="A12" s="101">
        <v>3</v>
      </c>
      <c r="B12" s="101" t="s">
        <v>997</v>
      </c>
      <c r="C12" s="102"/>
      <c r="D12" s="103"/>
    </row>
    <row r="13" spans="1:13">
      <c r="B13" s="45" t="s">
        <v>325</v>
      </c>
      <c r="D13" s="45"/>
      <c r="E13" s="45"/>
      <c r="F13" s="45"/>
      <c r="H13" s="194"/>
    </row>
    <row r="14" spans="1:13">
      <c r="C14" s="45" t="s">
        <v>328</v>
      </c>
      <c r="D14" s="42"/>
      <c r="E14" s="45"/>
      <c r="F14" s="45"/>
      <c r="K14" s="67"/>
    </row>
    <row r="15" spans="1:13">
      <c r="C15" s="80" t="s">
        <v>790</v>
      </c>
      <c r="D15" s="80" t="s">
        <v>390</v>
      </c>
      <c r="E15" s="80" t="s">
        <v>391</v>
      </c>
      <c r="F15" s="80" t="s">
        <v>455</v>
      </c>
      <c r="G15" s="39" t="s">
        <v>998</v>
      </c>
      <c r="K15" s="67"/>
    </row>
    <row r="16" spans="1:13">
      <c r="C16" s="88">
        <f>給与・年金!D12+給与・年金!Q18</f>
        <v>0</v>
      </c>
      <c r="D16" s="88">
        <f>給与・年金!H7</f>
        <v>0</v>
      </c>
      <c r="E16" s="88">
        <f>給与・年金!H12</f>
        <v>0</v>
      </c>
      <c r="F16" s="88">
        <f>SUM(C16:E16)</f>
        <v>0</v>
      </c>
      <c r="G16" s="39" t="s">
        <v>727</v>
      </c>
      <c r="H16" s="45"/>
      <c r="I16" s="45"/>
      <c r="J16" s="45"/>
    </row>
    <row r="17" spans="1:12" s="64" customFormat="1">
      <c r="C17" s="201" t="s">
        <v>787</v>
      </c>
      <c r="D17" s="201" t="s">
        <v>788</v>
      </c>
      <c r="E17" s="201" t="s">
        <v>789</v>
      </c>
      <c r="F17" s="201" t="s">
        <v>933</v>
      </c>
      <c r="G17" s="200"/>
      <c r="K17" s="200"/>
      <c r="L17" s="200"/>
    </row>
    <row r="18" spans="1:12">
      <c r="C18" s="48" t="s">
        <v>167</v>
      </c>
      <c r="D18" s="80" t="s">
        <v>724</v>
      </c>
      <c r="E18" s="49" t="s">
        <v>725</v>
      </c>
      <c r="F18" s="53" t="s">
        <v>728</v>
      </c>
      <c r="G18" s="50" t="s">
        <v>726</v>
      </c>
      <c r="I18" s="45"/>
      <c r="J18" s="181"/>
    </row>
    <row r="19" spans="1:12">
      <c r="C19" s="57">
        <f>IF(F16&lt;=550999,0,
IF(AND(551000&lt;=F16,F16&lt;=1618999),F16-550000,
IF(AND(1619000&lt;=F16,F16&lt;=1619999),1069000,
IF(AND(1620000&lt;=F16,F16&lt;=1621999),1070000,
IF(AND(1622000&lt;=F16,F16&lt;=1623999),1072000,
IF(AND(1624000&lt;=F16,F16&lt;=1627999),1074000,
IF(AND(1628000&lt;=F16,F16&lt;=1799999),ROUNDDOWN(F16/4,-3)*2.4+100000,
IF(AND(1800000&lt;=F16,F16&lt;=3599999),ROUNDDOWN(F16/4,-3)*2.8-80000,
IF(AND(3600000&lt;=F16,F16&lt;=6599999),ROUNDDOWN(F16/4,-3)*3.2-440000,
IF(AND(6600000&lt;=F16,F16&lt;=8499999),ROUNDDOWN(F16*0.9-1100000,0),
IF(8500000&lt;=F16,F16-1950000,0)))))))))))</f>
        <v>0</v>
      </c>
      <c r="D19" s="69">
        <f>IF(AND(給与・年金!C22="■",F16&gt;=8500000),MIN(ROUNDUP((F16-8500000)*10/100,0),150000),0)</f>
        <v>0</v>
      </c>
      <c r="E19" s="87">
        <f>C19-D19</f>
        <v>0</v>
      </c>
      <c r="F19" s="65">
        <f>IF(AND(C19&gt;0,J26&gt;0,C19+J26&gt;=100000),MIN(C19,100000)+MIN(J26,100000)-100000,0)</f>
        <v>0</v>
      </c>
      <c r="G19" s="61">
        <f>C19-D19-F19</f>
        <v>0</v>
      </c>
      <c r="I19" s="180"/>
      <c r="J19" s="181"/>
    </row>
    <row r="20" spans="1:12" ht="128.25">
      <c r="C20" s="197" t="s">
        <v>786</v>
      </c>
      <c r="D20" s="197" t="s">
        <v>791</v>
      </c>
      <c r="E20" s="199" t="s">
        <v>934</v>
      </c>
      <c r="F20" s="202" t="s">
        <v>1098</v>
      </c>
      <c r="G20" s="199" t="s">
        <v>981</v>
      </c>
      <c r="H20" s="249"/>
    </row>
    <row r="21" spans="1:12" ht="28.5">
      <c r="B21" s="253" t="s">
        <v>846</v>
      </c>
      <c r="C21" s="54" t="s">
        <v>847</v>
      </c>
      <c r="D21" s="54" t="str">
        <f>IF(F16&gt;8500000,"1-3","")</f>
        <v/>
      </c>
      <c r="E21" s="254" t="str">
        <f>IF(F16&gt;8500000,"給与所得調整控除","")</f>
        <v/>
      </c>
      <c r="F21" s="255" t="str">
        <f>IF(F16&gt;8500000,"給与収入850万円超で、本人が特別障害者に該当する方や特別障害者を扶養している方、23歳未満の扶養親族がいる場合、所得金額調整控除を適用できます。","")</f>
        <v/>
      </c>
      <c r="G21" s="256" t="str">
        <f>IF(F16&gt;8500000,"←給与所得調整控除を適用する場合は、■を選択してください。","")</f>
        <v/>
      </c>
      <c r="H21" s="249"/>
    </row>
    <row r="22" spans="1:12">
      <c r="C22" s="197"/>
      <c r="D22" s="45"/>
      <c r="E22" s="199"/>
      <c r="F22" s="202"/>
      <c r="G22" s="199"/>
      <c r="H22" s="249"/>
    </row>
    <row r="23" spans="1:12">
      <c r="B23" s="45" t="s">
        <v>314</v>
      </c>
      <c r="D23" s="45"/>
      <c r="E23" s="45"/>
      <c r="F23" s="45"/>
      <c r="H23" s="45"/>
    </row>
    <row r="24" spans="1:12">
      <c r="C24" s="45" t="s">
        <v>319</v>
      </c>
      <c r="D24" s="45"/>
      <c r="E24" s="45"/>
      <c r="F24" s="45"/>
    </row>
    <row r="25" spans="1:12">
      <c r="C25" s="48" t="s">
        <v>584</v>
      </c>
      <c r="D25" s="55" t="s">
        <v>315</v>
      </c>
      <c r="E25" s="55" t="s">
        <v>316</v>
      </c>
      <c r="F25" s="1698" t="s">
        <v>1198</v>
      </c>
      <c r="G25" s="1699"/>
      <c r="H25" s="48" t="s">
        <v>722</v>
      </c>
      <c r="I25" s="48" t="s">
        <v>729</v>
      </c>
      <c r="J25" s="193" t="s">
        <v>723</v>
      </c>
    </row>
    <row r="26" spans="1:12">
      <c r="C26" s="168">
        <f>給与・年金!D30</f>
        <v>0</v>
      </c>
      <c r="D26" s="48" t="s">
        <v>166</v>
      </c>
      <c r="E26" s="57">
        <f>ROUNDDOWN(IF(C26&lt;=(600000-I26),0,
IF(AND(600001&lt;=C26,C26&lt;=1299999),C26-(600000-I26),
IF(AND(1300000&lt;=C26,C26&lt;=4099999),ROUNDDOWN(C26*0.75,0)-(275000-I26),
IF(AND(4100000&lt;=C26,C26&lt;=7699999),ROUNDDOWN(C26*0.85,0)-(685000-I26),
IF(AND(7700000&lt;=C26,C26&lt;=9999999),ROUNDDOWN(C26*0.95,0)-(1455000-I26),
IF(10000000&lt;=C26,C26-(1955000-I26),0)))))),0)</f>
        <v>0</v>
      </c>
      <c r="F26" s="56">
        <f>F27+1</f>
        <v>19590102</v>
      </c>
      <c r="G26" s="56" t="s">
        <v>317</v>
      </c>
      <c r="H26" s="170">
        <f>'市民税・県民税申告書（印刷）'!AV30+'市民税・県民税申告書（印刷）'!AV31+'市民税・県民税申告書（印刷）'!AV32+'市民税・県民税申告書（印刷）'!AV33+'市民税・県民税申告書（印刷）'!AV34+計算用資料!E19+MAX('市民税・県民税申告書（印刷）'!AV37+'市民税・県民税申告書（印刷）'!AV38,0)+'市民税・県民税申告書（印刷）'!AV40</f>
        <v>0</v>
      </c>
      <c r="I26" s="169">
        <f>IF(H26&lt;=10000000,0,IF(AND(10000000&lt;H26,H26&lt;=20000000),100000,IF(20000000&lt;H26,200000,"")))</f>
        <v>0</v>
      </c>
      <c r="J26" s="62">
        <f>IF(OR(H6&lt;10000000,H6&gt;99999999),E26,IF(H6&gt;F27,E26,E27))</f>
        <v>0</v>
      </c>
    </row>
    <row r="27" spans="1:12">
      <c r="D27" s="48" t="s">
        <v>165</v>
      </c>
      <c r="E27" s="57">
        <f>ROUNDDOWN(IF(C26&lt;=1100000-I26,0,
IF(AND(1100001&lt;=C26,C26&lt;=3299999),C26-(1100000-I26),
IF(AND(3300000&lt;=C26,C26&lt;=4099999),ROUNDDOWN(C26*0.75,0)-(275000-I26),
IF(AND(4100000&lt;=C26,C26&lt;=7699999),ROUNDDOWN(C26*0.85,0)-(685000-I26),
IF(AND(7700000&lt;=C26,C26&lt;=9999999),ROUNDDOWN(C26*0.95,0)-(1455000-I26),
IF(10000000&lt;=C26,C26-(1955000-I26),0)))))),0)</f>
        <v>0</v>
      </c>
      <c r="F27" s="58">
        <f>C1-650000</f>
        <v>19590101</v>
      </c>
      <c r="G27" s="60" t="s">
        <v>318</v>
      </c>
    </row>
    <row r="28" spans="1:12" ht="99.75">
      <c r="C28" s="204" t="s">
        <v>935</v>
      </c>
      <c r="E28" s="203" t="s">
        <v>792</v>
      </c>
      <c r="H28" s="197" t="s">
        <v>793</v>
      </c>
      <c r="I28" s="197" t="s">
        <v>1092</v>
      </c>
      <c r="J28" s="197" t="s">
        <v>1099</v>
      </c>
    </row>
    <row r="29" spans="1:12" s="101" customFormat="1">
      <c r="A29" s="101">
        <v>4</v>
      </c>
      <c r="B29" s="101" t="s">
        <v>999</v>
      </c>
      <c r="C29" s="97" t="s">
        <v>456</v>
      </c>
      <c r="D29" s="97"/>
      <c r="E29" s="99"/>
      <c r="F29" s="100"/>
      <c r="G29" s="99"/>
      <c r="H29" s="97"/>
      <c r="I29" s="97"/>
      <c r="J29" s="97"/>
      <c r="K29" s="97"/>
      <c r="L29" s="97"/>
    </row>
    <row r="30" spans="1:12" s="46" customFormat="1">
      <c r="C30" s="80" t="s">
        <v>848</v>
      </c>
      <c r="D30" s="48" t="str">
        <f>IF(OR(AND(営業等!D45="給与から天引き（特別徴収）",一時所得等!D25="自分で納付（普通徴収）"),(AND(営業等!D45="自分で納付（普通徴収）",一時所得等!D25="給与から天引き（特別徴収）"))),"営業所得等と一時所得等で異なる納税方法が選択されています。同一の納付方法を選択してください。","")</f>
        <v/>
      </c>
      <c r="E30" s="206"/>
      <c r="F30" s="207"/>
      <c r="G30" s="206"/>
      <c r="H30" s="205"/>
      <c r="I30" s="205"/>
      <c r="J30" s="205"/>
      <c r="K30" s="205"/>
      <c r="L30" s="205"/>
    </row>
    <row r="31" spans="1:12" s="46" customFormat="1">
      <c r="C31" s="205"/>
      <c r="D31" s="205"/>
      <c r="E31" s="206"/>
      <c r="F31" s="207"/>
      <c r="G31" s="206"/>
      <c r="H31" s="205"/>
      <c r="I31" s="205"/>
      <c r="J31" s="205"/>
      <c r="K31" s="205"/>
      <c r="L31" s="205"/>
    </row>
    <row r="32" spans="1:12" s="101" customFormat="1">
      <c r="A32" s="101">
        <v>5</v>
      </c>
      <c r="B32" s="101" t="s">
        <v>636</v>
      </c>
      <c r="C32" s="97" t="s">
        <v>805</v>
      </c>
      <c r="D32" s="97"/>
      <c r="E32" s="99"/>
      <c r="F32" s="100"/>
      <c r="G32" s="99"/>
      <c r="H32" s="97"/>
      <c r="I32" s="97"/>
      <c r="J32" s="97"/>
      <c r="K32" s="97"/>
      <c r="L32" s="97"/>
    </row>
    <row r="33" spans="1:12" s="46" customFormat="1">
      <c r="C33" s="48" t="s">
        <v>794</v>
      </c>
      <c r="D33" s="50" t="s">
        <v>797</v>
      </c>
      <c r="E33" s="49" t="s">
        <v>798</v>
      </c>
      <c r="G33" s="210" t="s">
        <v>803</v>
      </c>
      <c r="I33" s="48" t="s">
        <v>849</v>
      </c>
      <c r="J33" s="649" t="s">
        <v>1110</v>
      </c>
      <c r="K33" s="205"/>
      <c r="L33" s="205"/>
    </row>
    <row r="34" spans="1:12" s="46" customFormat="1">
      <c r="C34" s="48">
        <f>一時所得等!H4-一時所得等!H5</f>
        <v>0</v>
      </c>
      <c r="D34" s="50">
        <f>MAX(MIN(C34,500000),0)</f>
        <v>0</v>
      </c>
      <c r="E34" s="50">
        <f>C34-D34</f>
        <v>0</v>
      </c>
      <c r="G34" s="209">
        <f>IF(E37&lt;0,ROUNDDOWN(E37+E40*0.5,0)+E34,ROUNDDOWN((E37+E40)*0.5,0)+E34)</f>
        <v>0</v>
      </c>
      <c r="I34" s="54" t="str">
        <f>IF(E34&lt;0,"短期譲渡所得の金額が赤字のとき、このファイルは対応できていません。このファイルを使用しないでください。",IF(AND(E34&gt;0,OR(J34&lt;0,J37&lt;0,J40&lt;0)),"事業所得と不動産所得のいずれかが赤字のとき、このファイルは対応できていません。このファイルを使用しないでください。",""))</f>
        <v/>
      </c>
      <c r="J34" s="649">
        <f>営業等!L3</f>
        <v>0</v>
      </c>
      <c r="K34" s="205"/>
      <c r="L34" s="205"/>
    </row>
    <row r="35" spans="1:12" s="46" customFormat="1" ht="99.75">
      <c r="C35" s="211" t="s">
        <v>804</v>
      </c>
      <c r="D35" s="214" t="s">
        <v>936</v>
      </c>
      <c r="E35" s="212" t="s">
        <v>937</v>
      </c>
      <c r="F35" s="207"/>
      <c r="G35" s="215" t="s">
        <v>1433</v>
      </c>
      <c r="H35" s="205"/>
      <c r="I35" s="674" t="s">
        <v>1114</v>
      </c>
      <c r="J35" s="675" t="s">
        <v>1117</v>
      </c>
      <c r="K35" s="205"/>
      <c r="L35" s="205"/>
    </row>
    <row r="36" spans="1:12" s="46" customFormat="1">
      <c r="C36" s="48" t="s">
        <v>795</v>
      </c>
      <c r="D36" s="48" t="s">
        <v>799</v>
      </c>
      <c r="E36" s="49" t="s">
        <v>800</v>
      </c>
      <c r="F36" s="207"/>
      <c r="G36" s="206"/>
      <c r="H36" s="205"/>
      <c r="I36" s="48" t="s">
        <v>850</v>
      </c>
      <c r="J36" s="48" t="s">
        <v>1111</v>
      </c>
      <c r="K36" s="205"/>
      <c r="L36" s="205"/>
    </row>
    <row r="37" spans="1:12" s="46" customFormat="1">
      <c r="C37" s="48">
        <f>一時所得等!H11-一時所得等!H12</f>
        <v>0</v>
      </c>
      <c r="D37" s="50">
        <f>MAX(MIN(C37,500000-D34),0)</f>
        <v>0</v>
      </c>
      <c r="E37" s="50">
        <f>C37-D37</f>
        <v>0</v>
      </c>
      <c r="F37" s="207"/>
      <c r="G37" s="206"/>
      <c r="H37" s="205"/>
      <c r="I37" s="54" t="str">
        <f>IF(E37&lt;0,"長期譲渡所得の金額が赤字のとき、このファイルは対応できていません。このファイルを使用しないでください。",IF(AND(E37&gt;0,OR(J34&lt;0,J37&lt;0,J40&lt;0)),"事業所得と不動産所得のいずれかが赤字のとき、このファイルは対応できていません。このファイルを使用しないでください。",""))</f>
        <v/>
      </c>
      <c r="J37" s="48">
        <f>営業等!L7</f>
        <v>0</v>
      </c>
      <c r="K37" s="205"/>
      <c r="L37" s="205"/>
    </row>
    <row r="38" spans="1:12" s="46" customFormat="1" ht="71.25">
      <c r="C38" s="211" t="s">
        <v>804</v>
      </c>
      <c r="D38" s="214" t="s">
        <v>938</v>
      </c>
      <c r="E38" s="212" t="s">
        <v>939</v>
      </c>
      <c r="F38" s="207"/>
      <c r="G38" s="206"/>
      <c r="H38" s="205"/>
      <c r="I38" s="674" t="s">
        <v>1115</v>
      </c>
      <c r="J38" s="676" t="s">
        <v>1118</v>
      </c>
      <c r="K38" s="205"/>
      <c r="L38" s="205"/>
    </row>
    <row r="39" spans="1:12" s="46" customFormat="1">
      <c r="C39" s="49" t="s">
        <v>796</v>
      </c>
      <c r="D39" s="48" t="s">
        <v>801</v>
      </c>
      <c r="E39" s="49" t="s">
        <v>802</v>
      </c>
      <c r="F39" s="207"/>
      <c r="I39" s="80" t="s">
        <v>1113</v>
      </c>
      <c r="J39" s="48" t="s">
        <v>1112</v>
      </c>
      <c r="K39" s="205"/>
      <c r="L39" s="205"/>
    </row>
    <row r="40" spans="1:12" s="46" customFormat="1">
      <c r="C40" s="49">
        <f>MAX(一時所得等!H17-一時所得等!H18,0)</f>
        <v>0</v>
      </c>
      <c r="D40" s="48">
        <f>MAX(MIN(C40,500000),0)</f>
        <v>0</v>
      </c>
      <c r="E40" s="49">
        <f>C40-D40</f>
        <v>0</v>
      </c>
      <c r="F40" s="207"/>
      <c r="I40" s="74" t="str">
        <f>IF(AND(E40&gt;0,OR(J34&lt;0,J37&lt;0,J40&lt;0,E34&lt;0,E37&lt;0)),"事業所得、不動産所得、総合課税の譲渡所得のいずれかが赤字のとき、このファイルは対応できていません。","")</f>
        <v/>
      </c>
      <c r="J40" s="48">
        <f>営業等!L11</f>
        <v>0</v>
      </c>
      <c r="K40" s="205"/>
      <c r="L40" s="205"/>
    </row>
    <row r="41" spans="1:12" s="46" customFormat="1" ht="57">
      <c r="C41" s="211" t="s">
        <v>804</v>
      </c>
      <c r="D41" s="214" t="s">
        <v>940</v>
      </c>
      <c r="E41" s="213" t="s">
        <v>941</v>
      </c>
      <c r="F41" s="207"/>
      <c r="G41" s="206"/>
      <c r="H41" s="205"/>
      <c r="I41" s="674" t="s">
        <v>1116</v>
      </c>
      <c r="J41" s="675" t="s">
        <v>1119</v>
      </c>
      <c r="K41" s="205"/>
      <c r="L41" s="205"/>
    </row>
    <row r="42" spans="1:12" s="101" customFormat="1">
      <c r="A42" s="101">
        <v>6</v>
      </c>
      <c r="B42" s="101" t="s">
        <v>457</v>
      </c>
      <c r="C42" s="97"/>
      <c r="D42" s="97"/>
      <c r="E42" s="99"/>
      <c r="F42" s="100"/>
      <c r="G42" s="99"/>
      <c r="H42" s="97"/>
      <c r="I42" s="97"/>
      <c r="J42" s="97"/>
      <c r="K42" s="97"/>
      <c r="L42" s="97"/>
    </row>
    <row r="43" spans="1:12">
      <c r="C43" s="45" t="s">
        <v>808</v>
      </c>
      <c r="D43" s="45"/>
      <c r="E43" s="45"/>
      <c r="F43" s="45"/>
      <c r="G43" s="45"/>
      <c r="H43" s="45"/>
      <c r="I43" s="45"/>
    </row>
    <row r="44" spans="1:12">
      <c r="C44" s="80" t="s">
        <v>572</v>
      </c>
      <c r="D44" s="48" t="s">
        <v>153</v>
      </c>
      <c r="E44" s="49" t="s">
        <v>154</v>
      </c>
      <c r="F44" s="50" t="s">
        <v>152</v>
      </c>
      <c r="G44" s="49" t="s">
        <v>155</v>
      </c>
      <c r="H44" s="48" t="s">
        <v>156</v>
      </c>
      <c r="I44" s="54" t="s">
        <v>574</v>
      </c>
      <c r="J44" s="54" t="s">
        <v>575</v>
      </c>
      <c r="K44" s="48" t="s">
        <v>571</v>
      </c>
    </row>
    <row r="45" spans="1:12">
      <c r="C45" s="80" t="s">
        <v>573</v>
      </c>
      <c r="D45" s="87">
        <f>社会保険・生命・地震保険!I21</f>
        <v>0</v>
      </c>
      <c r="E45" s="87">
        <f>社会保険・生命・地震保険!I22</f>
        <v>0</v>
      </c>
      <c r="F45" s="87">
        <f>社会保険・生命・地震保険!I18</f>
        <v>0</v>
      </c>
      <c r="G45" s="87">
        <f>社会保険・生命・地震保険!I19</f>
        <v>0</v>
      </c>
      <c r="H45" s="87">
        <f>社会保険・生命・地震保険!I20</f>
        <v>0</v>
      </c>
      <c r="I45" s="167"/>
      <c r="J45" s="167"/>
      <c r="K45" s="167"/>
    </row>
    <row r="46" spans="1:12">
      <c r="C46" s="80" t="s">
        <v>570</v>
      </c>
      <c r="D46" s="87">
        <f>ROUNDUP(IF(D45&lt;=15000,D45,
IF(AND(15000&lt;D45,D45&lt;=40000),ROUNDUP(D45*0.5+7500,0),
IF(AND(40000&lt;D45,D45&lt;=70000),ROUNDUP(D45*0.25+17500,0),35000))),0)</f>
        <v>0</v>
      </c>
      <c r="E46" s="87">
        <f>ROUNDUP(IF(E45&lt;=15000,E45,
IF(AND(15000&lt;E45,E45&lt;=40000),ROUNDUP(E45*0.5+7500,0),
IF(AND(40000&lt;E45,E45&lt;=70000),ROUNDUP(E45*0.25+17500,0),35000))),0)</f>
        <v>0</v>
      </c>
      <c r="F46" s="87">
        <f>ROUNDUP(IF(F45&lt;=12000,F45,
IF(AND(12000&lt;F45,F45&lt;=32000),ROUNDUP(F45*0.5+6000,0),
IF(AND(32000&lt;F45,F45&lt;=56000),ROUNDUP(F45*0.25+14000,0),28000))),0)</f>
        <v>0</v>
      </c>
      <c r="G46" s="87">
        <f>ROUNDUP(IF(G45&lt;=12000,G45,
IF(AND(12000&lt;G45,G45&lt;=32000),ROUNDUP(G45*0.5+6000,0),
IF(AND(32000&lt;G45,G45&lt;=56000),ROUNDUP(G45*0.25+14000,0),28000))),0)</f>
        <v>0</v>
      </c>
      <c r="H46" s="87">
        <f>ROUNDUP(IF(H45&lt;=12000,H45,
IF(AND(12000&lt;H45,H45&lt;=32000),ROUNDUP(H45*0.5+6000,0),
IF(AND(32000&lt;H45,H45&lt;=56000),ROUNDUP(H45*0.25+14000,0),28000))),0)</f>
        <v>0</v>
      </c>
      <c r="I46" s="87">
        <f>MIN(D46+F46,28000)</f>
        <v>0</v>
      </c>
      <c r="J46" s="87">
        <f>MIN(E46+G46,28000)</f>
        <v>0</v>
      </c>
      <c r="K46" s="87">
        <f>MIN(MAX(D46,F46,I46)+MAX(E46,G46,J46)+H46,70000)</f>
        <v>0</v>
      </c>
    </row>
    <row r="47" spans="1:12" ht="85.5">
      <c r="C47" s="45"/>
      <c r="D47" s="196" t="s">
        <v>810</v>
      </c>
      <c r="E47" s="196" t="s">
        <v>810</v>
      </c>
      <c r="F47" s="196" t="s">
        <v>810</v>
      </c>
      <c r="G47" s="196" t="s">
        <v>810</v>
      </c>
      <c r="H47" s="196" t="s">
        <v>810</v>
      </c>
      <c r="I47" s="196" t="s">
        <v>807</v>
      </c>
      <c r="J47" s="196" t="s">
        <v>807</v>
      </c>
      <c r="K47" s="197" t="s">
        <v>806</v>
      </c>
    </row>
    <row r="48" spans="1:12">
      <c r="C48" s="45" t="s">
        <v>809</v>
      </c>
      <c r="D48" s="45"/>
      <c r="E48" s="45"/>
      <c r="F48" s="45"/>
      <c r="G48" s="45"/>
      <c r="H48" s="45"/>
      <c r="I48" s="196"/>
      <c r="J48" s="196"/>
      <c r="K48" s="197"/>
    </row>
    <row r="49" spans="1:14">
      <c r="C49" s="80" t="s">
        <v>576</v>
      </c>
      <c r="D49" s="48" t="s">
        <v>577</v>
      </c>
      <c r="E49" s="80" t="s">
        <v>416</v>
      </c>
      <c r="F49" s="48" t="s">
        <v>417</v>
      </c>
      <c r="G49" s="49" t="s">
        <v>418</v>
      </c>
      <c r="H49" s="50" t="s">
        <v>419</v>
      </c>
    </row>
    <row r="50" spans="1:14">
      <c r="C50" s="168">
        <f>社会保険・生命・地震保険!I26</f>
        <v>0</v>
      </c>
      <c r="D50" s="168">
        <f>社会保険・生命・地震保険!I27</f>
        <v>0</v>
      </c>
      <c r="E50" s="88">
        <f>ROUNDUP(IF(C50&lt;=50000,C50*0.5,25000),0)</f>
        <v>0</v>
      </c>
      <c r="F50" s="88">
        <f>ROUNDUP(IF(D50&lt;=5000,D50,IF(AND(5000&lt;D50,D50&lt;=15000),D50*0.5+2500,10000)),0)</f>
        <v>0</v>
      </c>
      <c r="G50" s="88">
        <f>MIN(E50+F50,25000)</f>
        <v>0</v>
      </c>
      <c r="H50" s="88">
        <f>MAX(E50,F50,G50)</f>
        <v>0</v>
      </c>
    </row>
    <row r="51" spans="1:14" ht="28.5">
      <c r="E51" s="196" t="s">
        <v>810</v>
      </c>
      <c r="F51" s="196" t="s">
        <v>810</v>
      </c>
      <c r="G51" s="203" t="s">
        <v>811</v>
      </c>
      <c r="H51" s="197" t="s">
        <v>812</v>
      </c>
    </row>
    <row r="52" spans="1:14" s="101" customFormat="1">
      <c r="A52" s="101">
        <v>7</v>
      </c>
      <c r="B52" s="101" t="s">
        <v>458</v>
      </c>
      <c r="C52" s="97"/>
      <c r="D52" s="97"/>
      <c r="E52" s="99"/>
      <c r="F52" s="100"/>
      <c r="G52" s="99"/>
      <c r="H52" s="97"/>
      <c r="I52" s="97"/>
      <c r="J52" s="97"/>
      <c r="K52" s="97"/>
      <c r="L52" s="97"/>
    </row>
    <row r="53" spans="1:14">
      <c r="C53" s="39" t="s">
        <v>329</v>
      </c>
    </row>
    <row r="54" spans="1:14">
      <c r="C54" s="48" t="s">
        <v>828</v>
      </c>
      <c r="E54" s="651" t="s">
        <v>851</v>
      </c>
      <c r="F54" s="60" t="s">
        <v>841</v>
      </c>
      <c r="H54" s="48" t="s">
        <v>1062</v>
      </c>
    </row>
    <row r="55" spans="1:14">
      <c r="C55" s="48">
        <f>'市民税・県民税申告書（印刷）'!AV41</f>
        <v>0</v>
      </c>
      <c r="E55" s="58" t="e">
        <f>IF(AND(計算用資料!F129&gt;0,配偶者・扶養!#REF!&gt;0),"個人番号が重複しています。確認してください。","")</f>
        <v>#REF!</v>
      </c>
      <c r="F55" s="60" t="str">
        <f>IF(AND(OR(配偶者・扶養!D7&gt;0,配偶者・扶養!D8&gt;0),計算用資料!H59=0),"控除額を計算するために生年月日を正しく入力してください。この表示が出ている場合、正しく控除額を計算できない可能性があります。","")</f>
        <v/>
      </c>
      <c r="H55" s="169" t="str">
        <f>IF(配偶者・扶養!H10="","",配偶者・扶養!H10)</f>
        <v/>
      </c>
    </row>
    <row r="56" spans="1:14">
      <c r="E56" s="262" t="s">
        <v>930</v>
      </c>
      <c r="H56" s="39" t="s">
        <v>1063</v>
      </c>
    </row>
    <row r="57" spans="1:14">
      <c r="C57" s="45" t="s">
        <v>331</v>
      </c>
      <c r="D57" s="45"/>
      <c r="E57" s="45"/>
      <c r="F57" s="45"/>
      <c r="G57" s="45"/>
      <c r="H57" s="45"/>
      <c r="I57" s="45"/>
      <c r="K57" s="1700" t="s">
        <v>330</v>
      </c>
      <c r="L57" s="1700"/>
      <c r="M57" s="1700"/>
    </row>
    <row r="58" spans="1:14">
      <c r="C58" s="48" t="s">
        <v>449</v>
      </c>
      <c r="D58" s="49" t="s">
        <v>149</v>
      </c>
      <c r="E58" s="50" t="s">
        <v>144</v>
      </c>
      <c r="F58" s="49" t="s">
        <v>140</v>
      </c>
      <c r="G58" s="49" t="s">
        <v>546</v>
      </c>
      <c r="H58" s="49" t="s">
        <v>547</v>
      </c>
      <c r="I58" s="80" t="s">
        <v>1199</v>
      </c>
      <c r="J58" s="48" t="s">
        <v>578</v>
      </c>
      <c r="K58" s="80" t="s">
        <v>829</v>
      </c>
      <c r="L58" s="129" t="s">
        <v>830</v>
      </c>
      <c r="M58" s="59" t="s">
        <v>831</v>
      </c>
      <c r="N58" s="80" t="s">
        <v>835</v>
      </c>
    </row>
    <row r="59" spans="1:14">
      <c r="C59" s="51" t="str">
        <f>IF(配偶者・扶養!E10&lt;1000,配偶者・扶養!D10&amp;配偶者・扶養!E10,"")</f>
        <v>選択してください</v>
      </c>
      <c r="D59" s="52" t="str">
        <f>IF(OR(配偶者・扶養!D10="西暦",配偶者・扶養!E10&gt;1000),配偶者・扶養!E10,"")</f>
        <v/>
      </c>
      <c r="E59" s="98">
        <f>配偶者・扶養!F10</f>
        <v>0</v>
      </c>
      <c r="F59" s="98">
        <f>配偶者・扶養!G10</f>
        <v>0</v>
      </c>
      <c r="G59" s="49" t="str">
        <f>C59&amp;D59&amp;"年"&amp;E59&amp;"月"&amp;F59&amp;"日"</f>
        <v>選択してください年0月0日</v>
      </c>
      <c r="H59" s="53">
        <f>IFERROR(VALUE(TEXT(DATEVALUE(G59),"yyyymmdd")),0)</f>
        <v>0</v>
      </c>
      <c r="I59" s="80">
        <f>C1-700000</f>
        <v>19540101</v>
      </c>
      <c r="J59" s="169">
        <f>配偶者・扶養!H10</f>
        <v>0</v>
      </c>
      <c r="K59" s="51">
        <f>IF($H$59=0,0,IF(AND($H$59&lt;=$I$59,$C$55&lt;=9000000),380000,
IF(AND($H$59&gt;$I$59,$C$55&lt;=9000000),330000,0)))</f>
        <v>0</v>
      </c>
      <c r="L59" s="51">
        <f>IF($H$59=0,0,IF(AND($H$59&lt;=$I$59,9000000&lt;$C$55,$C$55&lt;=9500000),260000,
IF(AND($H$59&gt;$I$59,9000000&lt;$C$55,$C$55&lt;=9500000),220000,0)))</f>
        <v>0</v>
      </c>
      <c r="M59" s="51">
        <f>IF($H$59=0,0,IF(AND($H$59&lt;=$I$59,9500000&lt;$C$55,$C$55&lt;=10000000),130000,
IF(AND($H$59&gt;$I$59,9500000&lt;$C$55,$C$55&lt;=10000000),110000,0)))</f>
        <v>0</v>
      </c>
      <c r="N59" s="247">
        <f>MAX(K59:M59)</f>
        <v>0</v>
      </c>
    </row>
    <row r="60" spans="1:14" s="46" customFormat="1" ht="85.5">
      <c r="C60" s="217"/>
      <c r="D60" s="218"/>
      <c r="E60" s="196" t="s">
        <v>785</v>
      </c>
      <c r="F60" s="196" t="s">
        <v>785</v>
      </c>
      <c r="G60" s="196" t="s">
        <v>942</v>
      </c>
      <c r="H60" s="197" t="s">
        <v>1007</v>
      </c>
      <c r="I60" s="219"/>
      <c r="J60" s="220"/>
      <c r="K60" s="221" t="s">
        <v>832</v>
      </c>
      <c r="L60" s="221" t="s">
        <v>833</v>
      </c>
      <c r="M60" s="221" t="s">
        <v>834</v>
      </c>
      <c r="N60" s="248" t="s">
        <v>836</v>
      </c>
    </row>
    <row r="61" spans="1:14">
      <c r="C61" s="45" t="s">
        <v>813</v>
      </c>
      <c r="E61" s="45"/>
      <c r="F61" s="45"/>
      <c r="G61" s="45"/>
      <c r="H61" s="45"/>
      <c r="I61" s="45"/>
      <c r="J61" s="45"/>
      <c r="K61" s="45"/>
    </row>
    <row r="62" spans="1:14">
      <c r="C62" s="48" t="s">
        <v>354</v>
      </c>
      <c r="D62" s="45"/>
      <c r="E62" s="45"/>
      <c r="F62" s="45"/>
      <c r="H62" s="45"/>
      <c r="I62" s="45"/>
    </row>
    <row r="63" spans="1:14">
      <c r="C63" s="70">
        <f>IF(J59&lt;=480000,N59,0)</f>
        <v>0</v>
      </c>
    </row>
    <row r="64" spans="1:14" s="46" customFormat="1" ht="28.5">
      <c r="C64" s="222" t="s">
        <v>943</v>
      </c>
      <c r="D64" s="205"/>
      <c r="E64" s="206"/>
      <c r="F64" s="207"/>
      <c r="G64" s="206"/>
      <c r="H64" s="205"/>
      <c r="I64" s="205"/>
      <c r="J64" s="205"/>
      <c r="K64" s="205"/>
      <c r="L64" s="205"/>
    </row>
    <row r="65" spans="3:14">
      <c r="C65" s="45" t="s">
        <v>332</v>
      </c>
      <c r="D65" s="45"/>
      <c r="E65" s="45"/>
      <c r="F65" s="45"/>
      <c r="G65" s="45"/>
      <c r="H65" s="45"/>
      <c r="I65" s="45"/>
      <c r="J65" s="45"/>
      <c r="K65" s="45"/>
      <c r="L65" s="45"/>
    </row>
    <row r="66" spans="3:14">
      <c r="C66" s="45"/>
      <c r="D66" s="55" t="s">
        <v>341</v>
      </c>
      <c r="E66" s="55" t="s">
        <v>333</v>
      </c>
      <c r="F66" s="55" t="s">
        <v>334</v>
      </c>
      <c r="G66" s="55" t="s">
        <v>335</v>
      </c>
      <c r="H66" s="55" t="s">
        <v>336</v>
      </c>
      <c r="I66" s="55" t="s">
        <v>337</v>
      </c>
      <c r="J66" s="55" t="s">
        <v>338</v>
      </c>
      <c r="K66" s="55" t="s">
        <v>339</v>
      </c>
      <c r="L66" s="55" t="s">
        <v>340</v>
      </c>
    </row>
    <row r="67" spans="3:14">
      <c r="C67" s="80" t="s">
        <v>837</v>
      </c>
      <c r="D67" s="61">
        <f>SUM(E67:L67)</f>
        <v>0</v>
      </c>
      <c r="E67" s="61" t="str">
        <f>IF($H$59=0,"",IF(AND(480000&lt;$J$59,$J$59&lt;=1000000,$C$55&lt;=9000000),330000,""))</f>
        <v/>
      </c>
      <c r="F67" s="61" t="str">
        <f>IF($H$59=0,"",IF(AND(1000000&lt;$J$59,$J$59&lt;=1050000,$C$55&lt;=9000000),310000,""))</f>
        <v/>
      </c>
      <c r="G67" s="61" t="str">
        <f>IF($H$59=0,"",IF(AND(1050000&lt;$J$59,$J$59&lt;=1100000,$C$55&lt;=9000000),260000,""))</f>
        <v/>
      </c>
      <c r="H67" s="61" t="str">
        <f>IF($H$59=0,"",IF(AND(1100000&lt;$J$59,$J$59&lt;=1150000,$C$55&lt;=9000000),210000,""))</f>
        <v/>
      </c>
      <c r="I67" s="61" t="str">
        <f>IF($H$59=0,"",IF(AND(1150000&lt;$J$59,$J$59&lt;=1200000,$C$55&lt;=9000000),160000,""))</f>
        <v/>
      </c>
      <c r="J67" s="61" t="str">
        <f>IF($H$59=0,"",IF(AND(1200000&lt;$J$59,$J$59&lt;=1250000,$C$55&lt;=9000000),110000,""))</f>
        <v/>
      </c>
      <c r="K67" s="61" t="str">
        <f>IF($H$59=0,"",IF(AND(1250000&lt;$J$59,$J$59&lt;=1300000,$C$55&lt;=9000000),60000,""))</f>
        <v/>
      </c>
      <c r="L67" s="61" t="str">
        <f>IF($H$59=0,"",IF(AND(1300000&lt;$J$59,$J$59&lt;=1330000,$C$55&lt;=9000000),30000,""))</f>
        <v/>
      </c>
    </row>
    <row r="68" spans="3:14">
      <c r="C68" s="129" t="s">
        <v>838</v>
      </c>
      <c r="D68" s="61">
        <f>SUM(E68:L68)</f>
        <v>0</v>
      </c>
      <c r="E68" s="61" t="str">
        <f>IF($H$59=0,"",IF(AND(480000&lt;$J$59,$J$59&lt;=1000000,9000000&lt;$C$55,$C$55&lt;=9500000),220000,""))</f>
        <v/>
      </c>
      <c r="F68" s="61" t="str">
        <f>IF($H$59=0,"",IF(AND(1000000&lt;$J$59,$J$59&lt;=1050000,9000000&lt;$C$55,$C$55&lt;=9500000),210000,""))</f>
        <v/>
      </c>
      <c r="G68" s="61" t="str">
        <f>IF($H$59=0,"",IF(AND(1050000&lt;$J$59,$J$59&lt;=1100000,9000000&lt;$C$55,$C$55&lt;=9500000),180000,""))</f>
        <v/>
      </c>
      <c r="H68" s="61" t="str">
        <f>IF($H$59=0,"",IF(AND(1100000&lt;$J$59,$J$59&lt;=1150000,9000000&lt;$C$55,$C$55&lt;=9500000),140000,""))</f>
        <v/>
      </c>
      <c r="I68" s="61" t="str">
        <f>IF($H$59=0,"",IF(AND(1150000&lt;$J$59,$J$59&lt;=1200000,9000000&lt;$C$55,$C$55&lt;=9500000),110000,""))</f>
        <v/>
      </c>
      <c r="J68" s="61" t="str">
        <f>IF($H$59=0,"",IF(AND(1200000&lt;$J$59,$J$59&lt;=1250000,9000000&lt;$C$55,$C$55&lt;=9500000),80000,""))</f>
        <v/>
      </c>
      <c r="K68" s="61" t="str">
        <f>IF($H$59=0,"",IF(AND(1250000&lt;$J$59,$J$59&lt;=1300000,9000000&lt;$C$55,$C$55&lt;=9500000),40000,""))</f>
        <v/>
      </c>
      <c r="L68" s="61" t="str">
        <f>IF($H$59=0,"",IF(AND(1300000&lt;$J$59,$J$59&lt;=1330000,9000000&lt;$C$55,$C$55&lt;=9500000),20000,""))</f>
        <v/>
      </c>
    </row>
    <row r="69" spans="3:14">
      <c r="C69" s="59" t="s">
        <v>839</v>
      </c>
      <c r="D69" s="61">
        <f>SUM(E69:L69)</f>
        <v>0</v>
      </c>
      <c r="E69" s="61" t="str">
        <f>IF($H$59=0,"",IF(AND(480000&lt;$J$59,$J$59&lt;=1000000,9500000&lt;$C$55,$C$55&lt;=10000000),110000,""))</f>
        <v/>
      </c>
      <c r="F69" s="61" t="str">
        <f>IF($H$59=0,"",IF(AND(1000000&lt;$J$59,$J$59&lt;=1050000,9500000&lt;$C$55,$C$55&lt;=10000000),110000,""))</f>
        <v/>
      </c>
      <c r="G69" s="61" t="str">
        <f>IF($H$59=0,"",IF(AND(1050000&lt;$J$59,$J$59&lt;=1100000,9500000&lt;$C$55,$C$55&lt;=10000000),90000,""))</f>
        <v/>
      </c>
      <c r="H69" s="61" t="str">
        <f>IF($H$59=0,"",IF(AND(1100000&lt;$J$59,$J$59&lt;=1150000,9500000&lt;$C$55,$C$55&lt;=10000000),70000,""))</f>
        <v/>
      </c>
      <c r="I69" s="61" t="str">
        <f>IF($H$59=0,"",IF(AND(1150000&lt;$J$59,$J$59&lt;=1200000,9500000&lt;$C$55,$C$55&lt;=10000000),60000,""))</f>
        <v/>
      </c>
      <c r="J69" s="61" t="str">
        <f>IF($H$59=0,"",IF(AND(1200000&lt;$J$59,$J$59&lt;=1250000,9500000&lt;$C$55,$C$55&lt;=10000000),40000,""))</f>
        <v/>
      </c>
      <c r="K69" s="61" t="str">
        <f>IF($H$59=0,"",IF(AND(1250000&lt;$J$59,$J$59&lt;=1300000,9500000&lt;$C$55,$C$55&lt;=10000000),20000,""))</f>
        <v/>
      </c>
      <c r="L69" s="61" t="str">
        <f>IF($H$59=0,"",IF(AND(1300000&lt;$J$59,$J$59&lt;=1330000,9500000&lt;$C$55,$C$55&lt;=10000000),10000,""))</f>
        <v/>
      </c>
    </row>
    <row r="70" spans="3:14" s="46" customFormat="1" ht="99.75">
      <c r="D70" s="222" t="s">
        <v>944</v>
      </c>
      <c r="E70" s="222" t="s">
        <v>1008</v>
      </c>
      <c r="F70" s="222" t="s">
        <v>1011</v>
      </c>
      <c r="G70" s="222" t="s">
        <v>1014</v>
      </c>
      <c r="H70" s="222" t="s">
        <v>1017</v>
      </c>
      <c r="I70" s="222" t="s">
        <v>1020</v>
      </c>
      <c r="J70" s="222" t="s">
        <v>1023</v>
      </c>
      <c r="K70" s="222" t="s">
        <v>1026</v>
      </c>
      <c r="L70" s="222" t="s">
        <v>1029</v>
      </c>
    </row>
    <row r="71" spans="3:14" s="46" customFormat="1" ht="114">
      <c r="D71" s="222" t="s">
        <v>945</v>
      </c>
      <c r="E71" s="222" t="s">
        <v>1009</v>
      </c>
      <c r="F71" s="222" t="s">
        <v>1012</v>
      </c>
      <c r="G71" s="222" t="s">
        <v>1015</v>
      </c>
      <c r="H71" s="222" t="s">
        <v>1018</v>
      </c>
      <c r="I71" s="222" t="s">
        <v>1021</v>
      </c>
      <c r="J71" s="222" t="s">
        <v>1024</v>
      </c>
      <c r="K71" s="222" t="s">
        <v>1027</v>
      </c>
      <c r="L71" s="222" t="s">
        <v>1030</v>
      </c>
    </row>
    <row r="72" spans="3:14" s="46" customFormat="1" ht="114">
      <c r="D72" s="222" t="s">
        <v>946</v>
      </c>
      <c r="E72" s="222" t="s">
        <v>1010</v>
      </c>
      <c r="F72" s="222" t="s">
        <v>1013</v>
      </c>
      <c r="G72" s="222" t="s">
        <v>1016</v>
      </c>
      <c r="H72" s="222" t="s">
        <v>1019</v>
      </c>
      <c r="I72" s="222" t="s">
        <v>1022</v>
      </c>
      <c r="J72" s="222" t="s">
        <v>1025</v>
      </c>
      <c r="K72" s="222" t="s">
        <v>1028</v>
      </c>
      <c r="L72" s="222" t="s">
        <v>1031</v>
      </c>
    </row>
    <row r="73" spans="3:14"/>
    <row r="74" spans="3:14">
      <c r="C74" s="45" t="s">
        <v>342</v>
      </c>
      <c r="D74" s="45"/>
      <c r="E74" s="45"/>
      <c r="F74" s="45"/>
      <c r="G74" s="45"/>
      <c r="H74" s="45"/>
      <c r="I74" s="45"/>
    </row>
    <row r="75" spans="3:14">
      <c r="C75" s="45" t="s">
        <v>459</v>
      </c>
      <c r="D75" s="45"/>
      <c r="E75" s="45"/>
      <c r="F75" s="45"/>
      <c r="G75" s="45"/>
      <c r="H75" s="45"/>
      <c r="I75" s="45"/>
    </row>
    <row r="76" spans="3:14">
      <c r="C76" s="59"/>
      <c r="D76" s="48" t="s">
        <v>449</v>
      </c>
      <c r="E76" s="49" t="s">
        <v>149</v>
      </c>
      <c r="F76" s="50" t="s">
        <v>144</v>
      </c>
      <c r="G76" s="49" t="s">
        <v>140</v>
      </c>
      <c r="H76" s="49" t="s">
        <v>546</v>
      </c>
      <c r="I76" s="49" t="s">
        <v>547</v>
      </c>
      <c r="J76" s="48" t="s">
        <v>579</v>
      </c>
      <c r="K76" s="49" t="s">
        <v>150</v>
      </c>
      <c r="L76" s="167" t="s">
        <v>852</v>
      </c>
      <c r="M76" s="80" t="s">
        <v>853</v>
      </c>
      <c r="N76" s="80" t="s">
        <v>891</v>
      </c>
    </row>
    <row r="77" spans="3:14">
      <c r="C77" s="59" t="s">
        <v>321</v>
      </c>
      <c r="D77" s="51" t="str">
        <f>IF(配偶者・扶養!J20&lt;1000,配偶者・扶養!I20&amp;配偶者・扶養!J20,"")</f>
        <v>選択してください</v>
      </c>
      <c r="E77" s="52" t="str">
        <f>IF(OR(配偶者・扶養!I20="西暦",配偶者・扶養!J20&gt;1000),配偶者・扶養!J20,"")</f>
        <v/>
      </c>
      <c r="F77" s="98">
        <f>配偶者・扶養!K20</f>
        <v>0</v>
      </c>
      <c r="G77" s="98">
        <f>配偶者・扶養!L20</f>
        <v>0</v>
      </c>
      <c r="H77" s="49" t="str">
        <f>D77&amp;E77&amp;"年"&amp;F77&amp;"月"&amp;G77&amp;"日"</f>
        <v>選択してください年0月0日</v>
      </c>
      <c r="I77" s="53" t="str">
        <f>IFERROR(VALUE(TEXT(DATEVALUE(H77),"yyyymmdd")),"")</f>
        <v/>
      </c>
      <c r="J77" s="184" t="str">
        <f>配偶者・扶養!D21</f>
        <v>　</v>
      </c>
      <c r="K77" s="185">
        <f>IF(AND(I77&lt;=$D$84,J77="同居（直系尊属）"),450000,IF(I77&lt;=$D$84,380000,IF(AND(I77&gt;$D$84,I77&lt;=$E$84),330000,IF(AND(I77&gt;$E$84,I77&lt;=$F$84),450000,IF(AND(I77&gt;$F$84,I77&lt;=$G$84),330000,0)))))</f>
        <v>0</v>
      </c>
      <c r="L77" s="881" t="e">
        <f>IF(AND(計算用資料!$F$129&gt;0,配偶者・扶養!#REF!&gt;0),"個人番号が重複しています。確認してください。","")</f>
        <v>#REF!</v>
      </c>
      <c r="M77" s="210" t="str">
        <f>IF(AND(OR(配偶者・扶養!D19&gt;0,配偶者・扶養!D20&gt;0),I77=""),"控除額を計算するために正しく生年月日を入力してください。","")</f>
        <v/>
      </c>
      <c r="N77" s="259">
        <f>SUM(K77:K80)</f>
        <v>0</v>
      </c>
    </row>
    <row r="78" spans="3:14">
      <c r="C78" s="59" t="s">
        <v>322</v>
      </c>
      <c r="D78" s="51" t="str">
        <f>IF(配偶者・扶養!J25&lt;1000,配偶者・扶養!I25&amp;配偶者・扶養!J25,"")</f>
        <v>選択してください</v>
      </c>
      <c r="E78" s="52" t="str">
        <f>IF(OR(配偶者・扶養!I25="西暦",配偶者・扶養!J25&gt;1000),配偶者・扶養!J25,"")</f>
        <v/>
      </c>
      <c r="F78" s="98">
        <f>配偶者・扶養!K25</f>
        <v>0</v>
      </c>
      <c r="G78" s="98">
        <f>配偶者・扶養!L25</f>
        <v>0</v>
      </c>
      <c r="H78" s="49" t="str">
        <f>D78&amp;E78&amp;"年"&amp;F78&amp;"月"&amp;G78&amp;"日"</f>
        <v>選択してください年0月0日</v>
      </c>
      <c r="I78" s="53" t="str">
        <f>IFERROR(VALUE(TEXT(DATEVALUE(H78),"yyyymmdd")),"")</f>
        <v/>
      </c>
      <c r="J78" s="184" t="str">
        <f>配偶者・扶養!D26</f>
        <v>　</v>
      </c>
      <c r="K78" s="185">
        <f>IF(AND(I78&lt;=$D$84,J78="同居（直系尊属）"),450000,IF(I78&lt;=$D$84,380000,IF(AND(I78&gt;$D$84,I78&lt;=$E$84),330000,IF(AND(I78&gt;$E$84,I78&lt;=$F$84),450000,IF(AND(I78&gt;$F$84,I78&lt;=$G$84),330000,0)))))</f>
        <v>0</v>
      </c>
      <c r="L78" s="881" t="e">
        <f>IF(AND(計算用資料!$F$129&gt;0,配偶者・扶養!#REF!&gt;0),"個人番号が重複しています。確認してください。","")</f>
        <v>#REF!</v>
      </c>
      <c r="M78" s="210" t="str">
        <f>IF(AND(OR(配偶者・扶養!D24&gt;0,配偶者・扶養!D25&gt;0),I78=""),"控除額を計算するために正しく生年月日を入力してください。","")</f>
        <v/>
      </c>
    </row>
    <row r="79" spans="3:14">
      <c r="C79" s="59" t="s">
        <v>343</v>
      </c>
      <c r="D79" s="51" t="str">
        <f>IF(配偶者・扶養!J30&lt;1000,配偶者・扶養!I30&amp;配偶者・扶養!J30,"")</f>
        <v>選択してください</v>
      </c>
      <c r="E79" s="52" t="str">
        <f>IF(OR(配偶者・扶養!I30="西暦",配偶者・扶養!J30&gt;1000),配偶者・扶養!J30,"")</f>
        <v/>
      </c>
      <c r="F79" s="98">
        <f>配偶者・扶養!K30</f>
        <v>0</v>
      </c>
      <c r="G79" s="98">
        <f>配偶者・扶養!L30</f>
        <v>0</v>
      </c>
      <c r="H79" s="49" t="str">
        <f>D79&amp;E79&amp;"年"&amp;F79&amp;"月"&amp;G79&amp;"日"</f>
        <v>選択してください年0月0日</v>
      </c>
      <c r="I79" s="53" t="str">
        <f>IFERROR(VALUE(TEXT(DATEVALUE(H79),"yyyymmdd")),"")</f>
        <v/>
      </c>
      <c r="J79" s="184" t="str">
        <f>配偶者・扶養!D31</f>
        <v>　</v>
      </c>
      <c r="K79" s="185">
        <f>IF(AND(I79&lt;=$D$84,J79="同居（直系尊属）"),450000,IF(I79&lt;=$D$84,380000,IF(AND(I79&gt;$D$84,I79&lt;=$E$84),330000,IF(AND(I79&gt;$E$84,I79&lt;=$F$84),450000,IF(AND(I79&gt;$F$84,I79&lt;=$G$84),330000,0)))))</f>
        <v>0</v>
      </c>
      <c r="L79" s="881" t="e">
        <f>IF(AND(計算用資料!$F$129&gt;0,配偶者・扶養!#REF!&gt;0),"個人番号が重複しています。確認してください。","")</f>
        <v>#REF!</v>
      </c>
      <c r="M79" s="210" t="str">
        <f>IF(AND(OR(配偶者・扶養!D29&gt;0,配偶者・扶養!D30&gt;0),I79=""),"控除額を計算するために正しく生年月日を入力してください。","")</f>
        <v/>
      </c>
    </row>
    <row r="80" spans="3:14">
      <c r="C80" s="59" t="s">
        <v>344</v>
      </c>
      <c r="D80" s="51" t="str">
        <f>IF(配偶者・扶養!J35&lt;1000,配偶者・扶養!I35&amp;配偶者・扶養!J35,"")</f>
        <v>選択してください</v>
      </c>
      <c r="E80" s="52" t="str">
        <f>IF(OR(配偶者・扶養!I35="西暦",配偶者・扶養!J35&gt;1000),配偶者・扶養!J35,"")</f>
        <v/>
      </c>
      <c r="F80" s="98">
        <f>配偶者・扶養!K35</f>
        <v>0</v>
      </c>
      <c r="G80" s="98">
        <f>配偶者・扶養!L35</f>
        <v>0</v>
      </c>
      <c r="H80" s="49" t="str">
        <f>D80&amp;E80&amp;"年"&amp;F80&amp;"月"&amp;G80&amp;"日"</f>
        <v>選択してください年0月0日</v>
      </c>
      <c r="I80" s="53" t="str">
        <f>IFERROR(VALUE(TEXT(DATEVALUE(H80),"yyyymmdd")),"")</f>
        <v/>
      </c>
      <c r="J80" s="184" t="str">
        <f>配偶者・扶養!D36</f>
        <v>　</v>
      </c>
      <c r="K80" s="185">
        <f>IF(AND(I80&lt;=$D$84,J80="同居（直系尊属）"),450000,IF(I80&lt;=$D$84,380000,IF(AND(I80&gt;$D$84,I80&lt;=$E$84),330000,IF(AND(I80&gt;$E$84,I80&lt;=$F$84),450000,
IF(AND(I80&gt;$F$84,I80&lt;=$G$84),330000,0)))))</f>
        <v>0</v>
      </c>
      <c r="L80" s="881" t="e">
        <f>IF(AND(計算用資料!$F$129&gt;0,配偶者・扶養!#REF!&gt;0),"個人番号が重複しています。確認してください。","")</f>
        <v>#REF!</v>
      </c>
      <c r="M80" s="210" t="str">
        <f>IF(AND(OR(配偶者・扶養!D34&gt;0,配偶者・扶養!D35&gt;0),I80=""),"控除額を計算するために正しく生年月日を入力してください。","")</f>
        <v/>
      </c>
    </row>
    <row r="81" spans="2:21" s="46" customFormat="1" ht="142.5">
      <c r="C81" s="223"/>
      <c r="D81" s="217"/>
      <c r="E81" s="218"/>
      <c r="F81" s="196" t="s">
        <v>785</v>
      </c>
      <c r="G81" s="196" t="s">
        <v>785</v>
      </c>
      <c r="H81" s="196" t="s">
        <v>947</v>
      </c>
      <c r="I81" s="197" t="s">
        <v>948</v>
      </c>
      <c r="J81" s="224"/>
      <c r="K81" s="226" t="s">
        <v>1000</v>
      </c>
      <c r="L81" s="263" t="s">
        <v>930</v>
      </c>
    </row>
    <row r="82" spans="2:21" s="46" customFormat="1">
      <c r="C82" s="714" t="s">
        <v>1200</v>
      </c>
      <c r="D82" s="217"/>
      <c r="E82" s="218"/>
      <c r="F82" s="218"/>
      <c r="G82" s="218"/>
      <c r="H82" s="208"/>
      <c r="I82" s="198"/>
      <c r="J82" s="224"/>
      <c r="K82" s="225"/>
      <c r="L82" s="205"/>
    </row>
    <row r="83" spans="2:21">
      <c r="C83" s="56"/>
      <c r="D83" s="48" t="s">
        <v>348</v>
      </c>
      <c r="E83" s="227" t="s">
        <v>814</v>
      </c>
      <c r="F83" s="228" t="s">
        <v>347</v>
      </c>
      <c r="G83" s="227" t="s">
        <v>346</v>
      </c>
      <c r="J83" s="45"/>
      <c r="K83" s="45"/>
      <c r="L83" s="45"/>
    </row>
    <row r="84" spans="2:21">
      <c r="C84" s="48" t="s">
        <v>345</v>
      </c>
      <c r="D84" s="56">
        <f>C1-700000</f>
        <v>19540101</v>
      </c>
      <c r="E84" s="58">
        <f>C1-230000</f>
        <v>20010101</v>
      </c>
      <c r="F84" s="56">
        <f>C1-190000</f>
        <v>20050101</v>
      </c>
      <c r="G84" s="56">
        <f>C1-160000</f>
        <v>20080101</v>
      </c>
      <c r="J84" s="45"/>
      <c r="K84" s="45"/>
      <c r="L84" s="45"/>
    </row>
    <row r="85" spans="2:21"/>
    <row r="86" spans="2:21">
      <c r="C86" s="39" t="s">
        <v>854</v>
      </c>
      <c r="D86" s="45"/>
      <c r="E86" s="45"/>
    </row>
    <row r="87" spans="2:21">
      <c r="C87" s="45"/>
      <c r="D87" s="167" t="s">
        <v>852</v>
      </c>
      <c r="E87" s="80" t="s">
        <v>853</v>
      </c>
    </row>
    <row r="88" spans="2:21">
      <c r="C88" s="59" t="s">
        <v>321</v>
      </c>
      <c r="D88" s="288" t="str">
        <f>IF(AND(計算用資料!$F$129&gt;0,配偶者・扶養!D46&gt;0),"個人番号が重複しています。確認してください。","")</f>
        <v>個人番号が重複しています。確認してください。</v>
      </c>
      <c r="E88" s="58" t="str">
        <f>IF(AND(配偶者・扶養!I45="西暦",配偶者・扶養!J45&lt;1000,配偶者・扶養!J45&gt;0),"↑生年月日の入力が不適切です。元号または西暦・年の入力を確認してください。",IF(AND(OR(配偶者・扶養!I45="明治",配偶者・扶養!I45="大正",配偶者・扶養!I45="昭和",配偶者・扶養!I45="平成",配偶者・扶養!I45="令和"),配偶者・扶養!J45&gt;99),"↑生年月日の入力が不適切です。元号または西暦・年の入力を確認してください。",IF(AND(配偶者・扶養!I45="選択してください",配偶者・扶養!J45&gt;0),"元号または西暦を選択してください。","")))</f>
        <v/>
      </c>
    </row>
    <row r="89" spans="2:21">
      <c r="C89" s="59" t="s">
        <v>322</v>
      </c>
      <c r="D89" s="288" t="str">
        <f>IF(AND(計算用資料!$F$129&gt;0,配偶者・扶養!D51&gt;0),"個人番号が重複しています。確認してください。","")</f>
        <v>個人番号が重複しています。確認してください。</v>
      </c>
      <c r="E89" s="58" t="str">
        <f>IF(AND(配偶者・扶養!I50="西暦",配偶者・扶養!J50&lt;1000,配偶者・扶養!J50&gt;0),"↑生年月日の入力が不適切です。元号または西暦・年の入力を確認してください。",IF(AND(OR(配偶者・扶養!I50="明治",配偶者・扶養!I50="大正",配偶者・扶養!I50="昭和",配偶者・扶養!I50="平成",配偶者・扶養!I50="令和"),配偶者・扶養!J50&gt;99),"↑生年月日の入力が不適切です。元号または西暦・年の入力を確認してください。",IF(AND(配偶者・扶養!I50="選択してください",配偶者・扶養!J50&gt;0),"元号または西暦を選択してください。","")))</f>
        <v/>
      </c>
    </row>
    <row r="90" spans="2:21">
      <c r="C90" s="59" t="s">
        <v>343</v>
      </c>
      <c r="D90" s="288" t="str">
        <f>IF(AND(計算用資料!$F$129&gt;0,配偶者・扶養!D56&gt;0),"個人番号が重複しています。確認してください。","")</f>
        <v>個人番号が重複しています。確認してください。</v>
      </c>
      <c r="E90" s="58" t="str">
        <f>IF(AND(配偶者・扶養!I55="西暦",配偶者・扶養!J55&lt;1000,配偶者・扶養!J55&gt;0),"↑生年月日の入力が不適切です。元号または西暦・年の入力を確認してください。",IF(AND(OR(配偶者・扶養!I55="明治",配偶者・扶養!I55="大正",配偶者・扶養!I55="昭和",配偶者・扶養!I55="平成",配偶者・扶養!I55="令和"),配偶者・扶養!J55&gt;99),"↑生年月日の入力が不適切です。元号または西暦・年の入力を確認してください。",IF(AND(配偶者・扶養!I55="選択してください",配偶者・扶養!J55&gt;0),"元号または西暦を選択してください。","")))</f>
        <v/>
      </c>
    </row>
    <row r="91" spans="2:21">
      <c r="D91" s="264" t="s">
        <v>930</v>
      </c>
    </row>
    <row r="92" spans="2:21">
      <c r="C92" s="39" t="s">
        <v>349</v>
      </c>
    </row>
    <row r="93" spans="2:21">
      <c r="C93" s="39" t="s">
        <v>732</v>
      </c>
      <c r="M93" s="852" t="s">
        <v>1522</v>
      </c>
      <c r="N93" s="853"/>
      <c r="O93" s="853"/>
      <c r="P93" s="853"/>
      <c r="Q93" s="853"/>
      <c r="R93" s="853"/>
      <c r="S93" s="853"/>
      <c r="T93" s="853"/>
      <c r="U93" s="854"/>
    </row>
    <row r="94" spans="2:21">
      <c r="C94" s="55" t="s">
        <v>350</v>
      </c>
      <c r="D94" s="59" t="s">
        <v>351</v>
      </c>
      <c r="E94" s="59" t="s">
        <v>352</v>
      </c>
      <c r="F94" s="59" t="s">
        <v>247</v>
      </c>
      <c r="G94" s="59" t="s">
        <v>248</v>
      </c>
      <c r="H94" s="286" t="s">
        <v>249</v>
      </c>
      <c r="I94" s="59" t="s">
        <v>250</v>
      </c>
      <c r="J94" s="59" t="s">
        <v>251</v>
      </c>
      <c r="K94" s="59" t="s">
        <v>252</v>
      </c>
      <c r="L94" s="129" t="s">
        <v>1498</v>
      </c>
      <c r="M94" s="836" t="s">
        <v>247</v>
      </c>
      <c r="N94" s="59" t="s">
        <v>173</v>
      </c>
      <c r="O94" s="59" t="s">
        <v>177</v>
      </c>
      <c r="P94" s="59" t="s">
        <v>250</v>
      </c>
      <c r="Q94" s="59" t="s">
        <v>217</v>
      </c>
      <c r="R94" s="59" t="s">
        <v>252</v>
      </c>
      <c r="S94" s="856" t="s">
        <v>1524</v>
      </c>
      <c r="T94" s="129" t="s">
        <v>1523</v>
      </c>
      <c r="U94" s="59" t="s">
        <v>1518</v>
      </c>
    </row>
    <row r="95" spans="2:21">
      <c r="B95" s="869" t="s">
        <v>1527</v>
      </c>
      <c r="C95" s="56">
        <f>COUNTIF(D95,"別居")+COUNTIF(D95,"別居（国外）")</f>
        <v>0</v>
      </c>
      <c r="D95" s="56" t="str">
        <f>IF(J59&lt;480001,配偶者・扶養!D11,"")</f>
        <v>　</v>
      </c>
      <c r="E95" s="857" t="str">
        <f>C95&amp;D95&amp;"※"</f>
        <v>0　※</v>
      </c>
      <c r="F95" s="56">
        <f>配偶者・扶養!D7</f>
        <v>0</v>
      </c>
      <c r="G95" s="56">
        <f>配偶者・扶養!D8</f>
        <v>0</v>
      </c>
      <c r="H95" s="287" t="e">
        <f>配偶者・扶養!#REF!</f>
        <v>#REF!</v>
      </c>
      <c r="I95" s="56" t="str">
        <f>配偶者・扶養!D10&amp;配偶者・扶養!E10&amp;"年"&amp;配偶者・扶養!F10&amp;"月"&amp;配偶者・扶養!G10&amp;"日"</f>
        <v>選択してください年月日</v>
      </c>
      <c r="J95" s="66" t="s">
        <v>1527</v>
      </c>
      <c r="K95" s="66">
        <f>配偶者・扶養!D12</f>
        <v>0</v>
      </c>
      <c r="L95" s="63" t="str">
        <f>配偶者・扶養!D13</f>
        <v>　配偶者である</v>
      </c>
      <c r="M95" s="837" t="str">
        <f>IFERROR(VLOOKUP("1別居※",$E$95:$K$95,2,FALSE),"")&amp;IFERROR(VLOOKUP("1別居（国外）※",$E$95:$K$95,2,FALSE),"")</f>
        <v/>
      </c>
      <c r="N95" s="48" t="str">
        <f>IFERROR(VLOOKUP("1別居※",$E$95:$K$101,3,FALSE),"")&amp;IFERROR(VLOOKUP("1別居（国外）※",$E$95:$K$101,3,FALSE),"")</f>
        <v/>
      </c>
      <c r="O95" s="48" t="str">
        <f>IFERROR(VLOOKUP("1別居※",$E$95:$K$101,4,FALSE),"")&amp;IFERROR(VLOOKUP("1別居（国外）※",$E$95:$K$101,4,FALSE),"")</f>
        <v/>
      </c>
      <c r="P95" s="48" t="str">
        <f>IFERROR(VLOOKUP("1別居※",$E$95:$K$101,5,FALSE),"")&amp;IFERROR(VLOOKUP("1別居（国外）※",$E$95:$K$101,5,FALSE),"")</f>
        <v/>
      </c>
      <c r="Q95" s="48" t="str">
        <f>IFERROR(VLOOKUP("1別居※",$E$95:$K$101,6,FALSE),"")&amp;IFERROR(VLOOKUP("1別居（国外）※",$E$95:$K$101,6,FALSE),"")</f>
        <v/>
      </c>
      <c r="R95" s="48" t="str">
        <f>IFERROR(VLOOKUP("1別居※",$E$95:$K$101,7,FALSE),"")&amp;IFERROR(VLOOKUP("1別居（国外）※",$E$95:$K$101,7,FALSE),"")</f>
        <v/>
      </c>
      <c r="S95" s="855" t="str">
        <f>IFERROR(VLOOKUP("1別居※",$E$95:$K$101,1,FALSE),"")&amp;IFERROR(VLOOKUP("1別居（国外）※",$E$95:$K$101,1,FALSE),"")</f>
        <v/>
      </c>
      <c r="T95" s="48" t="str">
        <f>IFERROR(VLOOKUP("1別居（国外）※",$E$95:$L$101,8,FALSE),"")</f>
        <v/>
      </c>
      <c r="U95" s="56" t="str">
        <f>IF(T95="","□配偶者□30歳未満又は70歳以上□留学□障害者□38万円以上の支払","")&amp;IF(T95="　配偶者である","■配偶者□30歳未満又は70歳以上□留学□障害者□38万円以上の支払","")&amp;IF(T95="　30歳未満もしくは70歳以上である","□配偶者■30歳未満又は70歳以上□留学□障害者□38万円以上の支払","")&amp;IF(T95="　留学している","□配偶者□30歳未満又は70歳以上■留学□障害者□38万円以上の支払","")&amp;IF(T95="　障害者である","□配偶者□30歳未満又は70歳以上□留学■障害者□38万円以上の支払","")&amp;IF(T95="　年間38万円以上の仕送りをしている","□配偶者□30歳未満又は70歳以上□留学□障害者■38万円以上の支払","")</f>
        <v>□配偶者□30歳未満又は70歳以上□留学□障害者□38万円以上の支払</v>
      </c>
    </row>
    <row r="96" spans="2:21">
      <c r="B96" s="869" t="s">
        <v>1528</v>
      </c>
      <c r="C96" s="56">
        <f>COUNTIF(D95:D96,"別居")+COUNTIF(D95:D96,"別居（国外）")</f>
        <v>0</v>
      </c>
      <c r="D96" s="56" t="str">
        <f>配偶者・扶養!D21</f>
        <v>　</v>
      </c>
      <c r="E96" s="857" t="str">
        <f>C96&amp;D96</f>
        <v>0　</v>
      </c>
      <c r="F96" s="56">
        <f>配偶者・扶養!D19</f>
        <v>0</v>
      </c>
      <c r="G96" s="56">
        <f>配偶者・扶養!D20</f>
        <v>0</v>
      </c>
      <c r="H96" s="287" t="e">
        <f>配偶者・扶養!#REF!</f>
        <v>#REF!</v>
      </c>
      <c r="I96" s="56" t="str">
        <f>配偶者・扶養!I20&amp;配偶者・扶養!J20&amp;"年"&amp;配偶者・扶養!K20&amp;"月"&amp;配偶者・扶養!L20&amp;"日"</f>
        <v>選択してください年月日</v>
      </c>
      <c r="J96" s="66">
        <f>配偶者・扶養!M20</f>
        <v>0</v>
      </c>
      <c r="K96" s="66">
        <f>配偶者・扶養!I21</f>
        <v>0</v>
      </c>
      <c r="L96" s="63" t="str">
        <f>配偶者・扶養!D22</f>
        <v>　選択してください</v>
      </c>
      <c r="M96" s="837" t="str">
        <f>IFERROR(VLOOKUP("1別居",$E$96:$K$102,2,FALSE),"")&amp;IFERROR(VLOOKUP("1別居（国外）",$E$96:$K$102,2,FALSE),"")</f>
        <v/>
      </c>
      <c r="N96" s="48" t="str">
        <f>IFERROR(VLOOKUP("1別居",$E$96:$K$102,3,FALSE),"")&amp;IFERROR(VLOOKUP("1別居（国外）",$E$96:$K$102,3,FALSE),"")</f>
        <v/>
      </c>
      <c r="O96" s="48" t="str">
        <f>IFERROR(VLOOKUP("1別居",$E$96:$K$102,4,FALSE),"")&amp;IFERROR(VLOOKUP("1別居（国外）",$E$96:$K$102,4,FALSE),"")</f>
        <v/>
      </c>
      <c r="P96" s="48" t="str">
        <f>IFERROR(VLOOKUP("1別居",$E$96:$K$102,5,FALSE),"")&amp;IFERROR(VLOOKUP("1別居（国外）",$E$96:$K$102,5,FALSE),"")</f>
        <v/>
      </c>
      <c r="Q96" s="48" t="str">
        <f>IFERROR(VLOOKUP("1別居",$E$96:$K$102,6,FALSE),"")&amp;IFERROR(VLOOKUP("1別居（国外）",$E$96:$K$102,6,FALSE),"")</f>
        <v/>
      </c>
      <c r="R96" s="48" t="str">
        <f>IFERROR(VLOOKUP("1別居",$E$96:$K$102,7,FALSE),"")&amp;IFERROR(VLOOKUP("1別居（国外）",$E$96:$K$102,7,FALSE),"")</f>
        <v/>
      </c>
      <c r="S96" s="855" t="str">
        <f>IFERROR(VLOOKUP("1別居",$E$96:$K$102,1,FALSE),"")&amp;IFERROR(VLOOKUP("1別居（国外）",$E$96:$K$102,1,FALSE),"")</f>
        <v/>
      </c>
      <c r="T96" s="48" t="str">
        <f>IFERROR(VLOOKUP("1別居（国外）",$E$96:$L$102,8,FALSE),"")</f>
        <v/>
      </c>
      <c r="U96" s="56" t="str">
        <f>IF(T96="","□配偶者□30歳未満又は70歳以上□留学□障害者□38万円以上の支払","")&amp;IF(T96="　選択してください","□配偶者□30歳未満又は70歳以上□留学□障害者□38万円以上の支払","")&amp;IF(T96="　配偶者である","■配偶者□30歳未満又は70歳以上□留学□障害者□38万円以上の支払","")&amp;IF(T96="　30歳未満もしくは70歳以上である","□配偶者■30歳未満又は70歳以上□留学□障害者□38万円以上の支払","")&amp;IF(T96="　留学している","□配偶者□30歳未満又は70歳以上■留学□障害者□38万円以上の支払","")&amp;IF(T96="　障害者である","□配偶者□30歳未満又は70歳以上□留学■障害者□38万円以上の支払","")&amp;IF(T96="　年間38万円以上の仕送りをしている","□配偶者□30歳未満又は70歳以上□留学□障害者■38万円以上の支払","")</f>
        <v>□配偶者□30歳未満又は70歳以上□留学□障害者□38万円以上の支払</v>
      </c>
    </row>
    <row r="97" spans="1:21">
      <c r="B97" s="869" t="s">
        <v>1533</v>
      </c>
      <c r="C97" s="56">
        <f>COUNTIF(D95:D97,"別居")+COUNTIF(D95:D97,"別居（国外）")</f>
        <v>0</v>
      </c>
      <c r="D97" s="56" t="str">
        <f>配偶者・扶養!D26</f>
        <v>　</v>
      </c>
      <c r="E97" s="857" t="str">
        <f t="shared" ref="E97:E102" si="0">C97&amp;D97</f>
        <v>0　</v>
      </c>
      <c r="F97" s="56">
        <f>配偶者・扶養!D24</f>
        <v>0</v>
      </c>
      <c r="G97" s="56">
        <f>配偶者・扶養!D25</f>
        <v>0</v>
      </c>
      <c r="H97" s="287" t="e">
        <f>配偶者・扶養!#REF!</f>
        <v>#REF!</v>
      </c>
      <c r="I97" s="56" t="str">
        <f>配偶者・扶養!I25&amp;配偶者・扶養!J25&amp;"年"&amp;配偶者・扶養!K25&amp;"月"&amp;配偶者・扶養!L25&amp;"日"</f>
        <v>選択してください年月日</v>
      </c>
      <c r="J97" s="66">
        <f>配偶者・扶養!M25</f>
        <v>0</v>
      </c>
      <c r="K97" s="66">
        <f>配偶者・扶養!I26</f>
        <v>0</v>
      </c>
      <c r="L97" s="63" t="str">
        <f>配偶者・扶養!D27</f>
        <v>　選択してください</v>
      </c>
      <c r="M97" s="837" t="str">
        <f>IFERROR(VLOOKUP("2別居",$E$96:$K$102,2,FALSE),"")&amp;IFERROR(VLOOKUP("2別居（国外）",$E$96:$K$102,2,FALSE),"")</f>
        <v/>
      </c>
      <c r="N97" s="48" t="str">
        <f>IFERROR(VLOOKUP("2別居",$E$96:$K$102,3,FALSE),"")&amp;IFERROR(VLOOKUP("2別居（国外）",$E$96:$K$102,3,FALSE),"")</f>
        <v/>
      </c>
      <c r="O97" s="48" t="str">
        <f>IFERROR(VLOOKUP("2別居",$E$96:$K$102,4,FALSE),"")&amp;IFERROR(VLOOKUP("2別居（国外）",$E$96:$K$102,4,FALSE),"")</f>
        <v/>
      </c>
      <c r="P97" s="48" t="str">
        <f>IFERROR(VLOOKUP("2別居",$E$96:$K$102,5,FALSE),"")&amp;IFERROR(VLOOKUP("2別居（国外）",$E$96:$K$102,5,FALSE),"")</f>
        <v/>
      </c>
      <c r="Q97" s="48" t="str">
        <f>IFERROR(VLOOKUP("2別居",$E$96:$K$102,6,FALSE),"")&amp;IFERROR(VLOOKUP("2別居（国外）",$E$96:$K$102,6,FALSE),"")</f>
        <v/>
      </c>
      <c r="R97" s="48" t="str">
        <f>IFERROR(VLOOKUP("2別居",$E$96:$K$102,7,FALSE),"")&amp;IFERROR(VLOOKUP("2別居（国外）",$E$96:$K$102,7,FALSE),"")</f>
        <v/>
      </c>
      <c r="S97" s="855" t="str">
        <f>IFERROR(VLOOKUP("2別居",$E$96:$K$102,1,FALSE),"")&amp;IFERROR(VLOOKUP("2別居（国外）",$E$96:$K$102,1,FALSE),"")</f>
        <v/>
      </c>
      <c r="T97" s="48" t="str">
        <f>IFERROR(VLOOKUP("2別居（国外）",$E$96:$L$102,8,FALSE),"")</f>
        <v/>
      </c>
      <c r="U97" s="56" t="str">
        <f>IF(T97="","□配偶者□30歳未満又は70歳以上□留学□障害者□38万円以上の支払","")&amp;IF(T97="　選択してください","□配偶者□30歳未満又は70歳以上□留学□障害者□38万円以上の支払","")&amp;IF(T97="　配偶者である","■配偶者□30歳未満又は70歳以上□留学□障害者□38万円以上の支払","")&amp;IF(T97="　30歳未満もしくは70歳以上である","□配偶者■30歳未満又は70歳以上□留学□障害者□38万円以上の支払","")&amp;IF(T97="　留学している","□配偶者□30歳未満又は70歳以上■留学□障害者□38万円以上の支払","")&amp;IF(T97="　障害者である","□配偶者□30歳未満又は70歳以上□留学■障害者□38万円以上の支払","")&amp;IF(T97="　年間38万円以上の仕送りをしている","□配偶者□30歳未満又は70歳以上□留学□障害者■38万円以上の支払","")</f>
        <v>□配偶者□30歳未満又は70歳以上□留学□障害者□38万円以上の支払</v>
      </c>
    </row>
    <row r="98" spans="1:21">
      <c r="B98" s="869" t="s">
        <v>1533</v>
      </c>
      <c r="C98" s="56">
        <f>COUNTIF(D95:D98,"別居")+COUNTIF(D95:D98,"別居（国外）")</f>
        <v>0</v>
      </c>
      <c r="D98" s="56" t="str">
        <f>配偶者・扶養!D31</f>
        <v>　</v>
      </c>
      <c r="E98" s="857" t="str">
        <f>C98&amp;D98</f>
        <v>0　</v>
      </c>
      <c r="F98" s="56">
        <f>配偶者・扶養!D29</f>
        <v>0</v>
      </c>
      <c r="G98" s="56">
        <f>配偶者・扶養!D30</f>
        <v>0</v>
      </c>
      <c r="H98" s="287" t="e">
        <f>配偶者・扶養!#REF!</f>
        <v>#REF!</v>
      </c>
      <c r="I98" s="56" t="str">
        <f>配偶者・扶養!I30&amp;配偶者・扶養!J30&amp;"年"&amp;配偶者・扶養!K30&amp;"月"&amp;配偶者・扶養!L30&amp;"日"</f>
        <v>選択してください年月日</v>
      </c>
      <c r="J98" s="66">
        <f>配偶者・扶養!M30</f>
        <v>0</v>
      </c>
      <c r="K98" s="66">
        <f>配偶者・扶養!I31</f>
        <v>0</v>
      </c>
      <c r="L98" s="63" t="str">
        <f>配偶者・扶養!D32</f>
        <v>　選択してください</v>
      </c>
      <c r="M98" s="837" t="str">
        <f>IFERROR(VLOOKUP("3別居",$E$96:$K$102,2,FALSE),"")&amp;IFERROR(VLOOKUP("3別居（国外）",$E$96:$K$102,2,FALSE),"")</f>
        <v/>
      </c>
      <c r="N98" s="48" t="str">
        <f>IFERROR(VLOOKUP("3別居",$E$96:$K$102,3,FALSE),"")&amp;IFERROR(VLOOKUP("3別居（国外）",$E$96:$K$102,3,FALSE),"")</f>
        <v/>
      </c>
      <c r="O98" s="48" t="str">
        <f>IFERROR(VLOOKUP("3別居",$E$96:$K$102,4,FALSE),"")&amp;IFERROR(VLOOKUP("3別居（国外）",$E$96:$K$102,4,FALSE),"")</f>
        <v/>
      </c>
      <c r="P98" s="48" t="str">
        <f>IFERROR(VLOOKUP("3別居",$E$96:$K$102,5,FALSE),"")&amp;IFERROR(VLOOKUP("3別居（国外）",$E$96:$K$102,5,FALSE),"")</f>
        <v/>
      </c>
      <c r="Q98" s="48" t="str">
        <f>IFERROR(VLOOKUP("3別居",$E$96:$K$102,6,FALSE),"")&amp;IFERROR(VLOOKUP("3別居（国外）",$E$96:$K$102,6,FALSE),"")</f>
        <v/>
      </c>
      <c r="R98" s="48" t="str">
        <f>IFERROR(VLOOKUP("3別居",$E$96:$K$102,7,FALSE),"")&amp;IFERROR(VLOOKUP("3別居（国外）",$E$96:$K$102,7,FALSE),"")</f>
        <v/>
      </c>
      <c r="S98" s="855" t="str">
        <f>IFERROR(VLOOKUP("3別居",$E$96:$K$102,1,FALSE),"")&amp;IFERROR(VLOOKUP("3別居（国外）",$E$96:$K$102,1,FALSE),"")</f>
        <v/>
      </c>
      <c r="T98" s="48" t="str">
        <f>IFERROR(VLOOKUP("3別居（国外）",$E$96:$L$102,8,FALSE),"")</f>
        <v/>
      </c>
      <c r="U98" s="56" t="str">
        <f>IF(T98="","□配偶者□30歳未満又は70歳以上□留学□障害者□38万円以上の支払","")&amp;IF(T98="　選択してください","□配偶者□30歳未満又は70歳以上□留学□障害者□38万円以上の支払","")&amp;IF(T98="　配偶者である","■配偶者□30歳未満又は70歳以上□留学□障害者□38万円以上の支払","")&amp;IF(T98="　30歳未満もしくは70歳以上である","□配偶者■30歳未満又は70歳以上□留学□障害者□38万円以上の支払","")&amp;IF(T98="　留学している","□配偶者□30歳未満又は70歳以上■留学□障害者□38万円以上の支払","")&amp;IF(T98="　障害者である","□配偶者□30歳未満又は70歳以上□留学■障害者□38万円以上の支払","")&amp;IF(T98="　年間38万円以上の仕送りをしている","□配偶者□30歳未満又は70歳以上□留学□障害者■38万円以上の支払","")</f>
        <v>□配偶者□30歳未満又は70歳以上□留学□障害者□38万円以上の支払</v>
      </c>
    </row>
    <row r="99" spans="1:21">
      <c r="B99" s="869" t="s">
        <v>1533</v>
      </c>
      <c r="C99" s="56">
        <f>COUNTIF(D95:D99,"別居")+COUNTIF(D95:D99,"別居（国外）")</f>
        <v>0</v>
      </c>
      <c r="D99" s="56" t="str">
        <f>配偶者・扶養!D36</f>
        <v>　</v>
      </c>
      <c r="E99" s="857" t="str">
        <f t="shared" si="0"/>
        <v>0　</v>
      </c>
      <c r="F99" s="56">
        <f>配偶者・扶養!D34</f>
        <v>0</v>
      </c>
      <c r="G99" s="56">
        <f>配偶者・扶養!D35</f>
        <v>0</v>
      </c>
      <c r="H99" s="287" t="e">
        <f>配偶者・扶養!#REF!</f>
        <v>#REF!</v>
      </c>
      <c r="I99" s="56" t="str">
        <f>配偶者・扶養!I35&amp;配偶者・扶養!J35&amp;"年"&amp;配偶者・扶養!K35&amp;"月"&amp;配偶者・扶養!L35&amp;"日"</f>
        <v>選択してください年月日</v>
      </c>
      <c r="J99" s="66">
        <f>配偶者・扶養!M35</f>
        <v>0</v>
      </c>
      <c r="K99" s="66">
        <f>配偶者・扶養!I36</f>
        <v>0</v>
      </c>
      <c r="L99" s="63" t="str">
        <f>配偶者・扶養!D37</f>
        <v>　選択してください</v>
      </c>
      <c r="M99" s="837" t="str">
        <f>IFERROR(VLOOKUP("4別居",$E$96:$K$102,2,FALSE),"")&amp;IFERROR(VLOOKUP("4別居（国外）",$E$96:$K$102,2,FALSE),"")</f>
        <v/>
      </c>
      <c r="N99" s="48" t="str">
        <f>IFERROR(VLOOKUP("4別居",$E$96:$K$102,3,FALSE),"")&amp;IFERROR(VLOOKUP("4別居（国外）",$E$96:$K$102,3,FALSE),"")</f>
        <v/>
      </c>
      <c r="O99" s="48" t="str">
        <f>IFERROR(VLOOKUP("4別居",$E$96:$K$102,4,FALSE),"")&amp;IFERROR(VLOOKUP("4別居（国外）",$E$96:$K$102,4,FALSE),"")</f>
        <v/>
      </c>
      <c r="P99" s="48" t="str">
        <f>IFERROR(VLOOKUP("4別居",$E$96:$K$102,5,FALSE),"")&amp;IFERROR(VLOOKUP("4別居（国外）",$E$96:$K$102,5,FALSE),"")</f>
        <v/>
      </c>
      <c r="Q99" s="48" t="str">
        <f>IFERROR(VLOOKUP("4別居",$E$96:$K$102,6,FALSE),"")&amp;IFERROR(VLOOKUP("4別居（国外）",$E$96:$K$102,6,FALSE),"")</f>
        <v/>
      </c>
      <c r="R99" s="48" t="str">
        <f>IFERROR(VLOOKUP("4別居",$E$96:$K$102,7,FALSE),"")&amp;IFERROR(VLOOKUP("4別居（国外）",$E$96:$K$102,7,FALSE),"")</f>
        <v/>
      </c>
      <c r="S99" s="855" t="str">
        <f>IFERROR(VLOOKUP("4別居",$E$96:$K$102,1,FALSE),"")&amp;IFERROR(VLOOKUP("4別居（国外）",$E$96:$K$102,1,FALSE),"")</f>
        <v/>
      </c>
      <c r="T99" s="48" t="str">
        <f>IFERROR(VLOOKUP("4別居（国外）",$E$96:$L$102,8,FALSE),"")</f>
        <v/>
      </c>
      <c r="U99" s="56" t="str">
        <f>IF(T99="","□配偶者□30歳未満又は70歳以上□留学□障害者□38万円以上の支払","")&amp;IF(T99="　選択してください","□配偶者□30歳未満又は70歳以上□留学□障害者□38万円以上の支払","")&amp;IF(T99="　配偶者である","■配偶者□30歳未満又は70歳以上□留学□障害者□38万円以上の支払","")&amp;IF(T99="　30歳未満もしくは70歳以上である","□配偶者■30歳未満又は70歳以上□留学□障害者□38万円以上の支払","")&amp;IF(T99="　留学している","□配偶者□30歳未満又は70歳以上■留学□障害者□38万円以上の支払","")&amp;IF(T99="　障害者である","□配偶者□30歳未満又は70歳以上□留学■障害者□38万円以上の支払","")&amp;IF(T99="　年間38万円以上の仕送りをしている","□配偶者□30歳未満又は70歳以上□留学□障害者■38万円以上の支払","")</f>
        <v>□配偶者□30歳未満又は70歳以上□留学□障害者□38万円以上の支払</v>
      </c>
    </row>
    <row r="100" spans="1:21">
      <c r="B100" s="869" t="s">
        <v>1533</v>
      </c>
      <c r="C100" s="56">
        <f>COUNTIF(D95:D100,"別居")+COUNTIF(D95:D100,"別居（国外）")</f>
        <v>0</v>
      </c>
      <c r="D100" s="56" t="str">
        <f>配偶者・扶養!D46</f>
        <v>　</v>
      </c>
      <c r="E100" s="857" t="str">
        <f>C100&amp;D100</f>
        <v>0　</v>
      </c>
      <c r="F100" s="56">
        <f>配偶者・扶養!D44</f>
        <v>0</v>
      </c>
      <c r="G100" s="56">
        <f>配偶者・扶養!D45</f>
        <v>0</v>
      </c>
      <c r="H100" s="287" t="e">
        <f>配偶者・扶養!#REF!</f>
        <v>#REF!</v>
      </c>
      <c r="I100" s="56" t="str">
        <f>配偶者・扶養!I45&amp;配偶者・扶養!J45&amp;"年"&amp;配偶者・扶養!K45&amp;"月"&amp;配偶者・扶養!L45&amp;"日"</f>
        <v>選択してください年月日</v>
      </c>
      <c r="J100" s="66">
        <f>配偶者・扶養!M45</f>
        <v>0</v>
      </c>
      <c r="K100" s="66">
        <f>配偶者・扶養!I46</f>
        <v>0</v>
      </c>
      <c r="L100" s="63" t="str">
        <f>配偶者・扶養!D47</f>
        <v>　30歳未満もしくは70歳以上である</v>
      </c>
      <c r="M100" s="45" t="s">
        <v>1521</v>
      </c>
      <c r="S100" s="45" t="str">
        <f>IFERROR(VLOOKUP("0別居（国外）",$E$96:$L$102,8,FALSE),"")</f>
        <v/>
      </c>
    </row>
    <row r="101" spans="1:21">
      <c r="B101" s="869" t="s">
        <v>1533</v>
      </c>
      <c r="C101" s="56">
        <f>COUNTIF(D95:D101,"別居")+COUNTIF(D95:D101,"別居（国外）")</f>
        <v>0</v>
      </c>
      <c r="D101" s="56" t="str">
        <f>配偶者・扶養!D51</f>
        <v>　</v>
      </c>
      <c r="E101" s="857" t="str">
        <f t="shared" si="0"/>
        <v>0　</v>
      </c>
      <c r="F101" s="56">
        <f>配偶者・扶養!D49</f>
        <v>0</v>
      </c>
      <c r="G101" s="56">
        <f>配偶者・扶養!D50</f>
        <v>0</v>
      </c>
      <c r="H101" s="287" t="e">
        <f>配偶者・扶養!#REF!</f>
        <v>#REF!</v>
      </c>
      <c r="I101" s="56" t="str">
        <f>配偶者・扶養!I50&amp;配偶者・扶養!J50&amp;"年"&amp;配偶者・扶養!K50&amp;"月"&amp;配偶者・扶養!L50&amp;"日"</f>
        <v>選択してください年月日</v>
      </c>
      <c r="J101" s="66">
        <f>配偶者・扶養!M50</f>
        <v>0</v>
      </c>
      <c r="K101" s="66">
        <f>配偶者・扶養!I51</f>
        <v>0</v>
      </c>
      <c r="L101" s="63" t="str">
        <f>配偶者・扶養!D52</f>
        <v>　30歳未満もしくは70歳以上である</v>
      </c>
      <c r="M101" s="45" t="s">
        <v>1521</v>
      </c>
      <c r="S101" s="45" t="str">
        <f>IFERROR(VLOOKUP("0別居（国外）",$E$96:$L$102,8,FALSE),"")</f>
        <v/>
      </c>
    </row>
    <row r="102" spans="1:21">
      <c r="B102" s="869" t="s">
        <v>1533</v>
      </c>
      <c r="C102" s="56">
        <f>COUNTIF(D95:D102,"別居")+COUNTIF(D95:D102,"別居（国外）")</f>
        <v>0</v>
      </c>
      <c r="D102" s="56" t="str">
        <f>配偶者・扶養!D56</f>
        <v>　</v>
      </c>
      <c r="E102" s="857" t="str">
        <f t="shared" si="0"/>
        <v>0　</v>
      </c>
      <c r="F102" s="56">
        <f>配偶者・扶養!D54</f>
        <v>0</v>
      </c>
      <c r="G102" s="56">
        <f>配偶者・扶養!D55</f>
        <v>0</v>
      </c>
      <c r="H102" s="287" t="e">
        <f>配偶者・扶養!#REF!</f>
        <v>#REF!</v>
      </c>
      <c r="I102" s="56" t="str">
        <f>配偶者・扶養!I55&amp;配偶者・扶養!J55&amp;"年"&amp;配偶者・扶養!K55&amp;"月"&amp;配偶者・扶養!L55&amp;"日"</f>
        <v>選択してください年月日</v>
      </c>
      <c r="J102" s="66">
        <f>配偶者・扶養!M55</f>
        <v>0</v>
      </c>
      <c r="K102" s="66">
        <f>配偶者・扶養!I56</f>
        <v>0</v>
      </c>
      <c r="L102" s="63" t="str">
        <f>配偶者・扶養!D57</f>
        <v>　30歳未満もしくは70歳以上である</v>
      </c>
      <c r="M102" s="45" t="s">
        <v>1521</v>
      </c>
    </row>
    <row r="103" spans="1:21" ht="42.75">
      <c r="C103" s="216" t="s">
        <v>949</v>
      </c>
      <c r="D103" s="216"/>
      <c r="E103" s="196" t="s">
        <v>815</v>
      </c>
      <c r="F103" s="216"/>
      <c r="G103" s="216"/>
      <c r="H103" s="263" t="s">
        <v>930</v>
      </c>
      <c r="I103" s="229" t="s">
        <v>816</v>
      </c>
      <c r="J103" s="45"/>
      <c r="K103" s="45"/>
      <c r="L103" s="45"/>
      <c r="M103" s="851" t="s">
        <v>950</v>
      </c>
      <c r="O103" s="850" t="s">
        <v>930</v>
      </c>
      <c r="T103" s="253" t="s">
        <v>1520</v>
      </c>
      <c r="U103" s="253" t="s">
        <v>1519</v>
      </c>
    </row>
    <row r="104" spans="1:21" s="101" customFormat="1">
      <c r="A104" s="101">
        <v>8</v>
      </c>
      <c r="B104" s="101" t="s">
        <v>460</v>
      </c>
      <c r="L104" s="97"/>
    </row>
    <row r="105" spans="1:21">
      <c r="C105" s="45" t="s">
        <v>326</v>
      </c>
      <c r="D105" s="45"/>
      <c r="E105" s="45"/>
      <c r="F105" s="45"/>
    </row>
    <row r="106" spans="1:21">
      <c r="C106" s="45" t="s">
        <v>327</v>
      </c>
      <c r="D106" s="45"/>
      <c r="E106" s="45"/>
      <c r="F106" s="45"/>
      <c r="G106" s="40" t="s">
        <v>461</v>
      </c>
    </row>
    <row r="107" spans="1:21">
      <c r="C107" s="56"/>
      <c r="D107" s="80" t="s">
        <v>855</v>
      </c>
      <c r="E107" s="80" t="s">
        <v>856</v>
      </c>
      <c r="F107" s="55" t="s">
        <v>323</v>
      </c>
      <c r="G107" s="55" t="s">
        <v>733</v>
      </c>
      <c r="H107" s="89" t="s">
        <v>324</v>
      </c>
      <c r="I107" s="78" t="s">
        <v>421</v>
      </c>
      <c r="J107" s="78" t="s">
        <v>423</v>
      </c>
      <c r="K107" s="78" t="s">
        <v>422</v>
      </c>
      <c r="L107" s="78" t="s">
        <v>424</v>
      </c>
      <c r="M107" s="39"/>
      <c r="N107" s="80" t="s">
        <v>991</v>
      </c>
      <c r="O107" s="80" t="s">
        <v>992</v>
      </c>
    </row>
    <row r="108" spans="1:21">
      <c r="C108" s="59" t="s">
        <v>321</v>
      </c>
      <c r="D108" s="80" t="str">
        <f>障害者控除!C17</f>
        <v>　</v>
      </c>
      <c r="E108" s="80" t="str">
        <f>IF(OR(D108="身体障害者手帳1級",D108="身体障害者手帳2級",D108="精神障害者保健福祉手帳1級",D108="療育手帳障害の程度A",D108="要介護4",D108="要介護5",D108="6カ月以上にわたって寝たきりで複雑な介護必要",D108="常に精神上の障害により事理を弁識する能力を欠く",D108="その他事由により特別障害者"),"特別障害者",IF(OR(D108="身体障害者手帳3級",D108="身体障害者手帳4級",D108="身体障害者手帳5級",D108="身体障害者手帳6級",D108="精神障害者保健福祉手帳2級",D108="精神障害者保健福祉手帳3級",D108="療育手帳障害の程度A以外",D108="要介護1",D108="要介護2",D108="要介護3",D108="その他事由により障害者"),"障害者",""))</f>
        <v/>
      </c>
      <c r="F108" s="170">
        <f>IF(障害者控除!F17="障害者",260000,IF(障害者控除!F17="特別障害者",300000,0))</f>
        <v>0</v>
      </c>
      <c r="G108" s="170">
        <f>IF(AND(障害者控除!F17="特別障害者",障害者控除!F14="同居"),230000,0)</f>
        <v>0</v>
      </c>
      <c r="H108" s="171">
        <f>SUM(F108:G109)</f>
        <v>0</v>
      </c>
      <c r="I108" s="48" t="str">
        <f>障害者控除!F17</f>
        <v/>
      </c>
      <c r="J108" s="48">
        <f>障害者控除!D13</f>
        <v>0</v>
      </c>
      <c r="K108" s="48">
        <f>障害者控除!D14</f>
        <v>0</v>
      </c>
      <c r="L108" s="48" t="str">
        <f>障害者控除!C17</f>
        <v>　</v>
      </c>
      <c r="N108" s="80" t="str">
        <f>障害者控除!F14</f>
        <v>　</v>
      </c>
      <c r="O108" s="80" t="str">
        <f>IF(AND(E108="障害者",N108="申告者本人が特別障害者"),"障害者控除の区分と特別障害者の同居・別居の選択が合いません。確認してください。","")</f>
        <v/>
      </c>
    </row>
    <row r="109" spans="1:21">
      <c r="C109" s="59" t="s">
        <v>322</v>
      </c>
      <c r="D109" s="80" t="str">
        <f>障害者控除!C24</f>
        <v>　</v>
      </c>
      <c r="E109" s="80" t="str">
        <f>IF(OR(D109="身体障害者手帳1級",D109="身体障害者手帳2級",D109="精神障害者保健福祉手帳1級",D109="療育手帳障害の程度A",D109="要介護4",D109="要介護5",D109="6カ月以上にわたって寝たきりで複雑な介護必要",D109="常に精神上の障害により事理を弁識する能力を欠く",D109="その他事由により特別障害者"),"特別障害者",IF(OR(D109="身体障害者手帳3級",D109="身体障害者手帳4級",D109="身体障害者手帳5級",D109="身体障害者手帳6級",D109="精神障害者保健福祉手帳2級",D109="精神障害者保健福祉手帳3級",D109="療育手帳障害の程度A以外",D109="要介護1",D109="要介護2",D109="要介護3",D109="その他事由により障害者"),"障害者",""))</f>
        <v/>
      </c>
      <c r="F109" s="170">
        <f>IF(障害者控除!F24="障害者",260000,IF(障害者控除!F24="特別障害者",300000,0))</f>
        <v>0</v>
      </c>
      <c r="G109" s="170">
        <f>IF(AND(障害者控除!F24="特別障害者",障害者控除!F21="同居"),230000,0)</f>
        <v>0</v>
      </c>
      <c r="H109" s="64"/>
      <c r="I109" s="48" t="str">
        <f>障害者控除!F24</f>
        <v/>
      </c>
      <c r="J109" s="48">
        <f>障害者控除!D20</f>
        <v>0</v>
      </c>
      <c r="K109" s="48">
        <f>障害者控除!D21</f>
        <v>0</v>
      </c>
      <c r="L109" s="48" t="str">
        <f>障害者控除!C24</f>
        <v>　</v>
      </c>
      <c r="N109" s="80" t="str">
        <f>障害者控除!F21</f>
        <v>　</v>
      </c>
      <c r="O109" s="80" t="str">
        <f>IF(AND(E109="障害者",N109="申告者本人が特別障害者"),"障害者控除の区分と特別障害者の同居・別居の選択が合いません。確認してください。","")</f>
        <v/>
      </c>
    </row>
    <row r="110" spans="1:21" ht="42.75">
      <c r="D110" s="45"/>
      <c r="E110" s="45"/>
      <c r="F110" s="197" t="s">
        <v>817</v>
      </c>
      <c r="G110" s="203" t="s">
        <v>818</v>
      </c>
      <c r="H110" s="41"/>
      <c r="I110" s="53" t="s">
        <v>420</v>
      </c>
      <c r="J110" s="48" t="str">
        <f>IFERROR(IF(AND(給与・年金!C22="■",F16&gt;8500000),VLOOKUP("特別障害者",計算用資料!$I$108:$L$109,2,FALSE),""),"")</f>
        <v/>
      </c>
      <c r="K110" s="48" t="str">
        <f>IFERROR(IF(AND(給与・年金!C22="■",F16&gt;8500000),VLOOKUP("特別障害者",計算用資料!$I$108:$L$109,3,FALSE),""),"")</f>
        <v/>
      </c>
      <c r="L110" s="48" t="str">
        <f>IFERROR(IF(AND(給与・年金!C22="■",F16&gt;8500000),VLOOKUP("特別障害者",計算用資料!$I$108:$L$109,4,FALSE),""),"")</f>
        <v/>
      </c>
      <c r="M110" s="129" t="str">
        <f>IF(J110="","","扶養控除参照")</f>
        <v/>
      </c>
    </row>
    <row r="111" spans="1:21" ht="156.75">
      <c r="D111" s="45"/>
      <c r="E111" s="45"/>
      <c r="F111" s="39"/>
      <c r="H111" s="41"/>
      <c r="I111" s="40"/>
      <c r="J111" s="197" t="s">
        <v>1001</v>
      </c>
      <c r="K111" s="197" t="s">
        <v>1002</v>
      </c>
      <c r="L111" s="197" t="s">
        <v>1003</v>
      </c>
      <c r="M111" s="197" t="s">
        <v>1004</v>
      </c>
      <c r="N111" s="229" t="s">
        <v>993</v>
      </c>
    </row>
    <row r="112" spans="1:21" s="101" customFormat="1">
      <c r="A112" s="101">
        <v>9</v>
      </c>
      <c r="B112" s="101" t="s">
        <v>462</v>
      </c>
      <c r="C112" s="97"/>
      <c r="D112" s="97"/>
      <c r="E112" s="99"/>
      <c r="F112" s="100"/>
      <c r="G112" s="99"/>
      <c r="H112" s="97"/>
      <c r="I112" s="97"/>
      <c r="J112" s="97"/>
      <c r="K112" s="97"/>
      <c r="L112" s="97"/>
    </row>
    <row r="113" spans="1:12">
      <c r="C113" s="68" t="s">
        <v>353</v>
      </c>
      <c r="D113" s="46"/>
      <c r="E113" s="46"/>
      <c r="F113" s="46"/>
      <c r="G113" s="46"/>
      <c r="H113" s="46"/>
      <c r="I113" s="46"/>
      <c r="J113" s="46"/>
      <c r="K113" s="46"/>
    </row>
    <row r="114" spans="1:12">
      <c r="C114" s="68" t="s">
        <v>1005</v>
      </c>
    </row>
    <row r="115" spans="1:12">
      <c r="C115" s="69">
        <f>IF(AND(寡婦・ひとり親・勤労学生!C2="■",'市民税・県民税申告書（印刷）'!AV41&lt;=5000000),300000,IF(AND(寡婦・ひとり親・勤労学生!C12="■",'市民税・県民税申告書（印刷）'!AV41&lt;=5000000),260000,0))</f>
        <v>0</v>
      </c>
      <c r="E115" s="53" t="s">
        <v>857</v>
      </c>
      <c r="F115" s="58" t="str">
        <f>IF(AND(寡婦・ひとり親・勤労学生!C2="■",寡婦・ひとり親・勤労学生!C12="■"),"ひとり親控除と寡婦控除は同時に適用できません。ひとり親条件に該当する場合はひとり親控除のみ選択してください。","")</f>
        <v/>
      </c>
    </row>
    <row r="116" spans="1:12" ht="85.5">
      <c r="C116" s="230" t="s">
        <v>819</v>
      </c>
      <c r="E116" s="45"/>
      <c r="H116" s="39">
        <f>ROUNDDOWN(J123*5/100,0)</f>
        <v>0</v>
      </c>
    </row>
    <row r="117" spans="1:12">
      <c r="C117" s="88" t="s">
        <v>586</v>
      </c>
      <c r="D117" s="63">
        <f>IF('市民税・県民税申告書（印刷）'!AV41&gt;750000,0,IF(寡婦・ひとり親・勤労学生!C25="■",260000,0))</f>
        <v>0</v>
      </c>
    </row>
    <row r="118" spans="1:12" ht="42.75">
      <c r="C118" s="45"/>
      <c r="D118" s="196" t="s">
        <v>987</v>
      </c>
      <c r="E118" s="45"/>
      <c r="F118" s="45"/>
      <c r="G118" s="45"/>
      <c r="H118" s="45"/>
      <c r="I118" s="45"/>
      <c r="J118" s="45"/>
      <c r="K118" s="45"/>
    </row>
    <row r="119" spans="1:12" s="101" customFormat="1">
      <c r="A119" s="101">
        <v>10</v>
      </c>
      <c r="B119" s="101" t="s">
        <v>463</v>
      </c>
      <c r="L119" s="97"/>
    </row>
    <row r="120" spans="1:12" s="104" customFormat="1" ht="15.75">
      <c r="C120" s="104" t="s">
        <v>464</v>
      </c>
      <c r="L120" s="105"/>
    </row>
    <row r="121" spans="1:12" s="104" customFormat="1" ht="15.75">
      <c r="C121" s="104" t="s">
        <v>465</v>
      </c>
      <c r="L121" s="105"/>
    </row>
    <row r="122" spans="1:12" s="104" customFormat="1" ht="15.75">
      <c r="C122" s="175" t="s">
        <v>580</v>
      </c>
      <c r="D122" s="177">
        <f>医療費・寄附金!C4</f>
        <v>0</v>
      </c>
      <c r="E122" s="175" t="s">
        <v>581</v>
      </c>
      <c r="F122" s="177">
        <f>医療費・寄附金!F4</f>
        <v>0</v>
      </c>
      <c r="G122" s="175" t="s">
        <v>582</v>
      </c>
      <c r="H122" s="177">
        <f>医療費・寄附金!C11</f>
        <v>0</v>
      </c>
      <c r="I122" s="175" t="s">
        <v>583</v>
      </c>
      <c r="J122" s="177">
        <f>医療費・寄附金!F11</f>
        <v>0</v>
      </c>
      <c r="K122" s="165"/>
      <c r="L122" s="258"/>
    </row>
    <row r="123" spans="1:12" s="104" customFormat="1" ht="15.75">
      <c r="C123" s="172" t="s">
        <v>464</v>
      </c>
      <c r="D123" s="178">
        <f>IFERROR(MAX(MIN(D122-F122-MIN(100000,MAX(ROUNDDOWN(J123*5/100,0),0)),2000000),0),0)</f>
        <v>0</v>
      </c>
      <c r="E123" s="172" t="s">
        <v>466</v>
      </c>
      <c r="F123" s="173">
        <f>MAX(MIN(H122-J122-12000,88000),0)</f>
        <v>0</v>
      </c>
      <c r="G123" s="173" t="s">
        <v>467</v>
      </c>
      <c r="H123" s="174">
        <f>IF(D123&gt;=F123,D123,F123)</f>
        <v>0</v>
      </c>
      <c r="I123" s="80" t="s">
        <v>193</v>
      </c>
      <c r="J123" s="179">
        <f>'市民税・県民税申告書（印刷）'!AV41</f>
        <v>0</v>
      </c>
      <c r="K123" s="176" t="s">
        <v>858</v>
      </c>
      <c r="L123" s="257" t="str">
        <f>IF(AND(医療費・寄附金!C4&gt;0,医療費・寄附金!C11&gt;0),"医療費控除とセルフメディケーション税制は併用できません。どちらか一方のみに入力して下さい。両方に入力がある場合、有利な方を適用します。","")</f>
        <v/>
      </c>
    </row>
    <row r="124" spans="1:12" ht="114">
      <c r="C124" s="45"/>
      <c r="D124" s="196" t="s">
        <v>1120</v>
      </c>
      <c r="E124" s="45"/>
      <c r="F124" s="231" t="s">
        <v>990</v>
      </c>
      <c r="G124" s="64"/>
      <c r="H124" s="196" t="s">
        <v>820</v>
      </c>
      <c r="I124" s="45"/>
      <c r="J124" s="229"/>
      <c r="K124" s="45"/>
    </row>
    <row r="125" spans="1:12">
      <c r="C125" s="47"/>
      <c r="D125" s="45"/>
      <c r="E125" s="45"/>
      <c r="F125" s="45"/>
      <c r="G125" s="45"/>
      <c r="H125" s="45"/>
      <c r="I125" s="45"/>
      <c r="J125" s="45"/>
      <c r="K125" s="45"/>
    </row>
    <row r="126" spans="1:12" s="101" customFormat="1">
      <c r="A126" s="101">
        <v>11</v>
      </c>
      <c r="B126" s="101" t="s">
        <v>931</v>
      </c>
      <c r="C126" s="97"/>
      <c r="D126" s="97"/>
      <c r="E126" s="99"/>
      <c r="F126" s="100"/>
      <c r="G126" s="99"/>
      <c r="H126" s="97"/>
      <c r="I126" s="97"/>
      <c r="J126" s="97"/>
      <c r="K126" s="97"/>
      <c r="L126" s="97"/>
    </row>
    <row r="127" spans="1:12">
      <c r="C127" s="268" t="s">
        <v>928</v>
      </c>
      <c r="D127" s="269"/>
      <c r="E127" s="270"/>
      <c r="F127" s="271"/>
      <c r="G127" s="270"/>
      <c r="H127" s="43"/>
    </row>
    <row r="128" spans="1:12">
      <c r="C128" s="167"/>
      <c r="D128" s="167" t="s">
        <v>472</v>
      </c>
      <c r="E128" s="272" t="s">
        <v>482</v>
      </c>
      <c r="F128" s="273" t="s">
        <v>483</v>
      </c>
      <c r="G128" s="274"/>
      <c r="I128" s="44"/>
    </row>
    <row r="129" spans="1:12">
      <c r="C129" s="275" t="s">
        <v>473</v>
      </c>
      <c r="D129" s="276" t="e">
        <f>IF(はじめに!#REF!="",1,はじめに!#REF!)</f>
        <v>#REF!</v>
      </c>
      <c r="E129" s="277">
        <f>IF(COUNTIF($D$129:$D$137,D129)&gt;1,1,0)</f>
        <v>1</v>
      </c>
      <c r="F129" s="273">
        <f>SUM(E129:E137)</f>
        <v>9</v>
      </c>
      <c r="G129" s="274"/>
    </row>
    <row r="130" spans="1:12">
      <c r="C130" s="275" t="s">
        <v>481</v>
      </c>
      <c r="D130" s="276" t="e">
        <f>IF(配偶者・扶養!#REF!="",2,配偶者・扶養!#REF!)</f>
        <v>#REF!</v>
      </c>
      <c r="E130" s="277">
        <f>IF(COUNTIF($D$129:$D$137,D130)&gt;1,1,0)</f>
        <v>1</v>
      </c>
      <c r="F130" s="278"/>
      <c r="G130" s="274"/>
    </row>
    <row r="131" spans="1:12">
      <c r="C131" s="275" t="s">
        <v>474</v>
      </c>
      <c r="D131" s="276" t="e">
        <f>IF(配偶者・扶養!#REF!="",3,配偶者・扶養!#REF!)</f>
        <v>#REF!</v>
      </c>
      <c r="E131" s="277">
        <f>IF(COUNTIF($D$129:$D$137,D131)&gt;1,1,0)</f>
        <v>1</v>
      </c>
      <c r="F131" s="278"/>
      <c r="G131" s="274"/>
    </row>
    <row r="132" spans="1:12">
      <c r="C132" s="275" t="s">
        <v>475</v>
      </c>
      <c r="D132" s="276" t="str">
        <f>IF(配偶者・扶養!D26="",4,配偶者・扶養!D26)</f>
        <v>　</v>
      </c>
      <c r="E132" s="277">
        <f>IF(COUNTIF($D$129:$D$137,D132)&gt;1,1,0)</f>
        <v>1</v>
      </c>
      <c r="F132" s="278"/>
      <c r="G132" s="274"/>
    </row>
    <row r="133" spans="1:12">
      <c r="C133" s="275" t="s">
        <v>476</v>
      </c>
      <c r="D133" s="276" t="str">
        <f>IF(配偶者・扶養!D31="",5,配偶者・扶養!D31)</f>
        <v>　</v>
      </c>
      <c r="E133" s="277">
        <f>IF(COUNTIF($D$129:$D$137,D133)&gt;1,1,0)</f>
        <v>1</v>
      </c>
      <c r="F133" s="278"/>
      <c r="G133" s="274"/>
    </row>
    <row r="134" spans="1:12">
      <c r="C134" s="275" t="s">
        <v>477</v>
      </c>
      <c r="D134" s="276" t="str">
        <f>IF(配偶者・扶養!D36="",6,配偶者・扶養!D36)</f>
        <v>　</v>
      </c>
      <c r="E134" s="277">
        <f t="shared" ref="E134:E137" si="1">IF(COUNTIF($D$129:$D$137,D134)&gt;1,1,0)</f>
        <v>1</v>
      </c>
      <c r="F134" s="278"/>
      <c r="G134" s="274"/>
    </row>
    <row r="135" spans="1:12">
      <c r="C135" s="275" t="s">
        <v>478</v>
      </c>
      <c r="D135" s="276" t="str">
        <f>IF(配偶者・扶養!D46="",7,配偶者・扶養!D46)</f>
        <v>　</v>
      </c>
      <c r="E135" s="277">
        <f t="shared" si="1"/>
        <v>1</v>
      </c>
      <c r="F135" s="278"/>
      <c r="G135" s="274"/>
    </row>
    <row r="136" spans="1:12">
      <c r="C136" s="275" t="s">
        <v>479</v>
      </c>
      <c r="D136" s="276" t="str">
        <f>IF(配偶者・扶養!D51="",8,配偶者・扶養!D51)</f>
        <v>　</v>
      </c>
      <c r="E136" s="277">
        <f t="shared" si="1"/>
        <v>1</v>
      </c>
      <c r="F136" s="278"/>
      <c r="G136" s="274"/>
    </row>
    <row r="137" spans="1:12">
      <c r="C137" s="275" t="s">
        <v>480</v>
      </c>
      <c r="D137" s="276" t="str">
        <f>IF(配偶者・扶養!D56="",9,配偶者・扶養!D56)</f>
        <v>　</v>
      </c>
      <c r="E137" s="277">
        <f t="shared" si="1"/>
        <v>1</v>
      </c>
      <c r="F137" s="278"/>
      <c r="G137" s="274"/>
    </row>
    <row r="138" spans="1:12" ht="42.75">
      <c r="C138" s="279"/>
      <c r="D138" s="280" t="s">
        <v>823</v>
      </c>
      <c r="E138" s="281" t="s">
        <v>824</v>
      </c>
      <c r="F138" s="282" t="s">
        <v>840</v>
      </c>
      <c r="G138" s="274"/>
    </row>
    <row r="139" spans="1:12"/>
    <row r="140" spans="1:12" s="101" customFormat="1">
      <c r="A140" s="101">
        <v>12</v>
      </c>
      <c r="B140" s="101" t="s">
        <v>859</v>
      </c>
      <c r="C140" s="97"/>
      <c r="D140" s="97"/>
      <c r="E140" s="99"/>
      <c r="F140" s="100"/>
      <c r="G140" s="99"/>
      <c r="H140" s="97"/>
      <c r="I140" s="97"/>
      <c r="J140" s="97"/>
      <c r="K140" s="97"/>
      <c r="L140" s="97"/>
    </row>
    <row r="141" spans="1:12">
      <c r="C141" s="167" t="s">
        <v>951</v>
      </c>
      <c r="D141" s="48" t="s">
        <v>861</v>
      </c>
    </row>
    <row r="142" spans="1:12">
      <c r="C142" s="283" t="str">
        <f>IFERROR(IF(はじめに!#REF!="","",VALUE(はじめに!#REF!)),"")</f>
        <v/>
      </c>
      <c r="D142" s="48" t="str">
        <f>IF(はじめに!C15="選択してください","",はじめに!C15)</f>
        <v/>
      </c>
    </row>
    <row r="143" spans="1:12">
      <c r="C143" s="39" t="s">
        <v>860</v>
      </c>
    </row>
    <row r="144" spans="1:12"/>
    <row r="145" spans="3:10">
      <c r="C145" s="48" t="s">
        <v>862</v>
      </c>
      <c r="D145" s="48" t="s">
        <v>864</v>
      </c>
      <c r="E145" s="251" t="s">
        <v>863</v>
      </c>
      <c r="F145" s="50" t="s">
        <v>865</v>
      </c>
      <c r="G145" s="50" t="s">
        <v>866</v>
      </c>
      <c r="H145" s="50" t="s">
        <v>867</v>
      </c>
      <c r="I145" s="50" t="s">
        <v>868</v>
      </c>
    </row>
    <row r="146" spans="3:10">
      <c r="C146" s="48">
        <f>社会保険・生命・地震保険!I3+社会保険・生命・地震保険!I4</f>
        <v>0</v>
      </c>
      <c r="D146" s="48">
        <f>社会保険・生命・地震保険!I5+社会保険・生命・地震保険!I6</f>
        <v>0</v>
      </c>
      <c r="E146" s="251" t="str">
        <f>IF('市民税・県民税申告書（印刷）'!T19&gt;0,"その他","")</f>
        <v/>
      </c>
      <c r="F146" s="50" t="str">
        <f>IF(寡婦・ひとり親・勤労学生!$E$22="死別","■","□")</f>
        <v>□</v>
      </c>
      <c r="G146" s="251" t="str">
        <f>IF(寡婦・ひとり親・勤労学生!$E$22="離婚","■","□")</f>
        <v>□</v>
      </c>
      <c r="H146" s="48" t="str">
        <f>IF(寡婦・ひとり親・勤労学生!$E$22="生死不明","■","□")</f>
        <v>□</v>
      </c>
      <c r="I146" s="48" t="str">
        <f>IF(寡婦・ひとり親・勤労学生!$E$22="未帰還","■","□")</f>
        <v>□</v>
      </c>
    </row>
    <row r="147" spans="3:10"/>
    <row r="148" spans="3:10">
      <c r="C148" s="652" t="s">
        <v>869</v>
      </c>
      <c r="D148" s="48" t="s">
        <v>870</v>
      </c>
    </row>
    <row r="149" spans="3:10">
      <c r="C149" s="652" t="str">
        <f>IFERROR(IF(配偶者・扶養!#REF!="","",VALUE(配偶者・扶養!#REF!)),"")</f>
        <v/>
      </c>
      <c r="D149" s="48" t="str">
        <f>IF(配偶者・扶養!D10="選択してください","",配偶者・扶養!D10)</f>
        <v/>
      </c>
    </row>
    <row r="150" spans="3:10">
      <c r="C150" s="653"/>
    </row>
    <row r="151" spans="3:10">
      <c r="C151" s="652" t="s">
        <v>871</v>
      </c>
      <c r="D151" s="48" t="s">
        <v>872</v>
      </c>
      <c r="E151" s="167" t="s">
        <v>873</v>
      </c>
      <c r="F151" s="48" t="s">
        <v>874</v>
      </c>
      <c r="G151" s="167" t="s">
        <v>875</v>
      </c>
      <c r="H151" s="48" t="s">
        <v>876</v>
      </c>
      <c r="I151" s="167" t="s">
        <v>877</v>
      </c>
      <c r="J151" s="48" t="s">
        <v>878</v>
      </c>
    </row>
    <row r="152" spans="3:10">
      <c r="C152" s="654" t="str">
        <f>IFERROR(IF(配偶者・扶養!#REF!="","",VALUE(配偶者・扶養!#REF!)),"")</f>
        <v/>
      </c>
      <c r="D152" s="63" t="str">
        <f>IF(配偶者・扶養!I20="選択してください","",配偶者・扶養!I20)</f>
        <v/>
      </c>
      <c r="E152" s="277" t="str">
        <f>IFERROR(IF(配偶者・扶養!D26="","",VALUE(配偶者・扶養!D26)),"")</f>
        <v/>
      </c>
      <c r="F152" s="60" t="str">
        <f>IF(配偶者・扶養!I25="選択してください","",配偶者・扶養!I25)</f>
        <v/>
      </c>
      <c r="G152" s="277" t="str">
        <f>IFERROR(IF(配偶者・扶養!D31="","",VALUE(配偶者・扶養!D31)),"")</f>
        <v/>
      </c>
      <c r="H152" s="63" t="str">
        <f>IF(配偶者・扶養!I30="選択してください","",配偶者・扶養!I30)</f>
        <v/>
      </c>
      <c r="I152" s="284" t="str">
        <f>IFERROR(IF(配偶者・扶養!D36="","",VALUE(配偶者・扶養!D36)),"")</f>
        <v/>
      </c>
      <c r="J152" s="63" t="str">
        <f>IF(配偶者・扶養!I35="選択してください","",配偶者・扶養!I35)</f>
        <v/>
      </c>
    </row>
    <row r="153" spans="3:10">
      <c r="C153" s="653"/>
    </row>
    <row r="154" spans="3:10">
      <c r="C154" s="652" t="s">
        <v>879</v>
      </c>
      <c r="D154" s="48" t="s">
        <v>880</v>
      </c>
      <c r="E154" s="167" t="s">
        <v>881</v>
      </c>
      <c r="F154" s="48" t="s">
        <v>882</v>
      </c>
      <c r="G154" s="167" t="s">
        <v>883</v>
      </c>
      <c r="H154" s="48" t="s">
        <v>884</v>
      </c>
    </row>
    <row r="155" spans="3:10">
      <c r="C155" s="654" t="str">
        <f>IFERROR(IF(配偶者・扶養!D46="","",VALUE(配偶者・扶養!D46)),"")</f>
        <v/>
      </c>
      <c r="D155" s="63" t="str">
        <f>IF(配偶者・扶養!I45="選択してください","",配偶者・扶養!I45)</f>
        <v/>
      </c>
      <c r="E155" s="277" t="str">
        <f>IFERROR(IF(配偶者・扶養!D51="","",VALUE(配偶者・扶養!D51)),"")</f>
        <v/>
      </c>
      <c r="F155" s="60" t="str">
        <f>IF(配偶者・扶養!I50="選択してください","",配偶者・扶養!I50)</f>
        <v/>
      </c>
      <c r="G155" s="277" t="str">
        <f>IFERROR(IF(配偶者・扶養!D56="","",VALUE(配偶者・扶養!D56)),"")</f>
        <v/>
      </c>
      <c r="H155" s="63" t="str">
        <f>IF(配偶者・扶養!I55="選択してください","",配偶者・扶養!I55)</f>
        <v/>
      </c>
    </row>
    <row r="156" spans="3:10"/>
    <row r="157" spans="3:10">
      <c r="C157" s="48" t="s">
        <v>888</v>
      </c>
      <c r="D157" s="48" t="s">
        <v>885</v>
      </c>
      <c r="E157" s="48" t="s">
        <v>886</v>
      </c>
      <c r="F157" s="252" t="s">
        <v>887</v>
      </c>
    </row>
    <row r="158" spans="3:10">
      <c r="C158" s="48">
        <f>給与・年金!D12+給与・年金!Q18</f>
        <v>0</v>
      </c>
      <c r="D158" s="48">
        <f>MAX(営業等!P23,0)</f>
        <v>0</v>
      </c>
      <c r="E158" s="48">
        <f>MAX('市民税・県民税申告書（印刷）'!AV36+'市民税・県民税申告書（印刷）'!AV37+'市民税・県民税申告書（印刷）'!AV38,0)</f>
        <v>0</v>
      </c>
      <c r="F158" s="252">
        <f>SUM('市民税・県民税申告書（印刷）'!AV30:'市民税・県民税申告書（印刷）'!BA35,'市民税・県民税申告書（印刷）'!AV39:'市民税・県民税申告書（印刷）'!BA40)</f>
        <v>0</v>
      </c>
    </row>
    <row r="159" spans="3:10"/>
    <row r="160" spans="3:10">
      <c r="C160" s="48" t="s">
        <v>889</v>
      </c>
      <c r="D160" s="48" t="s">
        <v>890</v>
      </c>
      <c r="E160" s="252" t="s">
        <v>892</v>
      </c>
      <c r="F160" s="50" t="s">
        <v>893</v>
      </c>
      <c r="G160" s="252" t="s">
        <v>894</v>
      </c>
      <c r="H160" s="48" t="s">
        <v>895</v>
      </c>
      <c r="I160" s="48" t="s">
        <v>896</v>
      </c>
    </row>
    <row r="161" spans="3:11">
      <c r="C161" s="87">
        <f>計算用資料!C63</f>
        <v>0</v>
      </c>
      <c r="D161" s="87">
        <f>MAX(計算用資料!D67:D69)</f>
        <v>0</v>
      </c>
      <c r="E161" s="252">
        <f>IF('市民税・県民税申告書（印刷）'!AV41&lt;=24000000,430000,IF(AND(24000000&lt;='市民税・県民税申告書（印刷）'!AV41,'市民税・県民税申告書（印刷）'!AV41&lt;24500000),290000,IF(AND(24500000&lt;='市民税・県民税申告書（印刷）'!AV41,'市民税・県民税申告書（印刷）'!AV41&lt;=25000000),150000,IF(25000000&lt;'市民税・県民税申告書（印刷）'!AV41,0,""))))</f>
        <v>430000</v>
      </c>
      <c r="F161" s="50">
        <f>'市民税・県民税申告書（印刷）'!AV42+'市民税・県民税申告書（印刷）'!AV43+'市民税・県民税申告書（印刷）'!AV44+'市民税・県民税申告書（印刷）'!AV45+'市民税・県民税申告書（印刷）'!AV46+'市民税・県民税申告書（印刷）'!AV47+'市民税・県民税申告書（印刷）'!AV48+'市民税・県民税申告書（印刷）'!AV49+'市民税・県民税申告書（印刷）'!AV50+'市民税・県民税申告書（印刷）'!AV51+'市民税・県民税申告書（印刷）'!AV52</f>
        <v>430000</v>
      </c>
      <c r="G161" s="252">
        <f>IFERROR(計算用資料!H123,"")</f>
        <v>0</v>
      </c>
      <c r="H161" s="48" t="str">
        <f>IFERROR(IF(計算用資料!D123&gt;=計算用資料!F123,"",1),"")</f>
        <v/>
      </c>
      <c r="I161" s="48">
        <f>IFERROR(SUM('市民税・県民税申告書（印刷）'!AV53,'市民税・県民税申告書（印刷）'!AV54,'市民税・県民税申告書（印刷）'!AV55),"")</f>
        <v>430000</v>
      </c>
    </row>
    <row r="162" spans="3:11"/>
    <row r="163" spans="3:11">
      <c r="C163" s="48" t="s">
        <v>898</v>
      </c>
    </row>
    <row r="164" spans="3:11">
      <c r="C164" s="48">
        <f>一時所得等!L5+一時所得等!L12</f>
        <v>0</v>
      </c>
    </row>
    <row r="165" spans="3:11"/>
    <row r="166" spans="3:11">
      <c r="C166" s="48" t="s">
        <v>982</v>
      </c>
      <c r="D166" s="48" t="s">
        <v>983</v>
      </c>
    </row>
    <row r="167" spans="3:11">
      <c r="C167" s="48" t="str">
        <f>IF(OR(営業等!$D$45="給与から天引き（特別徴収）",一時所得等!D25="給与から天引き（特別徴収）"),"■","□")</f>
        <v>□</v>
      </c>
      <c r="D167" s="48" t="str">
        <f>IF(OR(営業等!$D$45="自分で納付（普通徴収）",一時所得等!D25="自分で納付（普通徴収）"),"■","□")</f>
        <v>□</v>
      </c>
    </row>
    <row r="168" spans="3:11"/>
    <row r="169" spans="3:11">
      <c r="C169" s="39" t="s">
        <v>377</v>
      </c>
      <c r="D169" s="45"/>
      <c r="E169" s="45"/>
      <c r="F169" s="45"/>
      <c r="G169" s="45"/>
      <c r="H169" s="45"/>
      <c r="I169" s="45"/>
      <c r="J169" s="45"/>
      <c r="K169" s="45"/>
    </row>
    <row r="170" spans="3:11">
      <c r="C170" s="39" t="s">
        <v>366</v>
      </c>
      <c r="H170" s="45"/>
      <c r="I170" s="45"/>
      <c r="J170" s="45"/>
      <c r="K170" s="45"/>
    </row>
    <row r="171" spans="3:11">
      <c r="C171" s="74" t="s">
        <v>363</v>
      </c>
      <c r="D171" s="48" t="s">
        <v>367</v>
      </c>
      <c r="E171" s="49" t="s">
        <v>368</v>
      </c>
      <c r="F171" s="50" t="s">
        <v>369</v>
      </c>
      <c r="G171" s="49" t="s">
        <v>370</v>
      </c>
      <c r="H171" s="45"/>
      <c r="I171" s="45"/>
      <c r="J171" s="45"/>
      <c r="K171" s="45"/>
    </row>
    <row r="172" spans="3:11">
      <c r="C172" s="73">
        <f>COUNTIF(E172,"添付")</f>
        <v>0</v>
      </c>
      <c r="D172" s="56" t="s">
        <v>358</v>
      </c>
      <c r="E172" s="56" t="str">
        <f>IF(OR('市民税・県民税申告書（印刷）'!AV21&gt;0,'市民税・県民税申告書（印刷）'!AV22&gt;0,'市民税・県民税申告書（印刷）'!AV23&gt;0),"添付","")</f>
        <v/>
      </c>
      <c r="F172" s="56" t="str">
        <f>C172&amp;E172</f>
        <v>0</v>
      </c>
      <c r="G172" s="56" t="s">
        <v>364</v>
      </c>
      <c r="H172" s="45"/>
      <c r="I172" s="45"/>
      <c r="J172" s="45"/>
      <c r="K172" s="45"/>
    </row>
    <row r="173" spans="3:11">
      <c r="C173" s="73">
        <f t="shared" ref="C173:C185" si="2">C172+COUNTIF(E173,"添付")</f>
        <v>0</v>
      </c>
      <c r="D173" s="56" t="s">
        <v>359</v>
      </c>
      <c r="E173" s="56" t="str">
        <f>IF('市民税・県民税申告書（印刷）'!AV44&gt;0,"添付","")</f>
        <v/>
      </c>
      <c r="F173" s="56" t="str">
        <f>C173&amp;E173</f>
        <v>0</v>
      </c>
      <c r="G173" s="56" t="s">
        <v>1093</v>
      </c>
      <c r="H173" s="46"/>
      <c r="I173" s="46"/>
      <c r="J173" s="46"/>
      <c r="K173" s="46"/>
    </row>
    <row r="174" spans="3:11">
      <c r="C174" s="73">
        <f t="shared" si="2"/>
        <v>0</v>
      </c>
      <c r="D174" s="56" t="s">
        <v>360</v>
      </c>
      <c r="E174" s="56" t="str">
        <f>IF('市民税・県民税申告書（印刷）'!AV45&gt;0,"添付","")</f>
        <v/>
      </c>
      <c r="F174" s="56" t="str">
        <f t="shared" ref="F174" si="3">C174&amp;E174</f>
        <v>0</v>
      </c>
      <c r="G174" s="56" t="s">
        <v>1094</v>
      </c>
      <c r="H174" s="45"/>
      <c r="I174" s="45"/>
      <c r="J174" s="45"/>
      <c r="K174" s="45"/>
    </row>
    <row r="175" spans="3:11">
      <c r="C175" s="73">
        <f t="shared" si="2"/>
        <v>0</v>
      </c>
      <c r="D175" s="56" t="s">
        <v>320</v>
      </c>
      <c r="E175" s="56" t="str">
        <f>IF('市民税・県民税申告書（印刷）'!AV48&gt;0,"添付","")</f>
        <v/>
      </c>
      <c r="F175" s="56" t="str">
        <f>C175&amp;E175</f>
        <v>0</v>
      </c>
      <c r="G175" s="56" t="s">
        <v>365</v>
      </c>
      <c r="H175" s="45"/>
      <c r="I175" s="45"/>
      <c r="J175" s="45"/>
      <c r="K175" s="45"/>
    </row>
    <row r="176" spans="3:11">
      <c r="C176" s="73">
        <f t="shared" si="2"/>
        <v>0</v>
      </c>
      <c r="D176" s="63" t="s">
        <v>469</v>
      </c>
      <c r="E176" s="56" t="str">
        <f>IF(AND('市民税・県民税申告書（印刷）'!AV55&gt;0,'市民税・県民税申告書（印刷）'!AQ55=""),"添付","")</f>
        <v/>
      </c>
      <c r="F176" s="56" t="str">
        <f t="shared" ref="F176:F185" si="4">C176&amp;E176</f>
        <v>0</v>
      </c>
      <c r="G176" s="108" t="s">
        <v>989</v>
      </c>
      <c r="H176" s="45"/>
      <c r="I176" s="45"/>
      <c r="J176" s="45"/>
      <c r="K176" s="45"/>
    </row>
    <row r="177" spans="1:12">
      <c r="C177" s="73">
        <f t="shared" si="2"/>
        <v>0</v>
      </c>
      <c r="D177" s="107" t="s">
        <v>466</v>
      </c>
      <c r="E177" s="56" t="str">
        <f>IF(AND('市民税・県民税申告書（印刷）'!AV55&gt;0,'市民税・県民税申告書（印刷）'!AQ55=1),"添付","")</f>
        <v/>
      </c>
      <c r="F177" s="56" t="str">
        <f t="shared" ref="F177:F182" si="5">C177&amp;E177</f>
        <v>0</v>
      </c>
      <c r="G177" s="108" t="s">
        <v>1129</v>
      </c>
      <c r="H177" s="45"/>
      <c r="I177" s="45"/>
      <c r="J177" s="45"/>
      <c r="K177" s="45"/>
    </row>
    <row r="178" spans="1:12">
      <c r="C178" s="73">
        <f t="shared" si="2"/>
        <v>0</v>
      </c>
      <c r="D178" s="56" t="s">
        <v>361</v>
      </c>
      <c r="E178" s="56" t="str">
        <f>IF(OR('市民税・県民税申告書（印刷）'!AV37&gt;0,'市民税・県民税申告書（印刷）'!AV38&gt;0),"添付","")</f>
        <v/>
      </c>
      <c r="F178" s="56" t="str">
        <f t="shared" si="5"/>
        <v>0</v>
      </c>
      <c r="G178" s="56" t="s">
        <v>1075</v>
      </c>
      <c r="H178" s="46"/>
      <c r="I178" s="46"/>
      <c r="J178" s="46"/>
      <c r="K178" s="46"/>
    </row>
    <row r="179" spans="1:12">
      <c r="C179" s="73">
        <f t="shared" si="2"/>
        <v>0</v>
      </c>
      <c r="D179" s="56" t="s">
        <v>362</v>
      </c>
      <c r="E179" s="56" t="str">
        <f>IF('市民税・県民税申告書（印刷）'!AV34&gt;0,"添付","")</f>
        <v/>
      </c>
      <c r="F179" s="56" t="str">
        <f t="shared" si="5"/>
        <v>0</v>
      </c>
      <c r="G179" s="56" t="s">
        <v>779</v>
      </c>
      <c r="H179" s="45"/>
      <c r="I179" s="45"/>
      <c r="J179" s="45"/>
      <c r="K179" s="45"/>
    </row>
    <row r="180" spans="1:12">
      <c r="C180" s="73">
        <f t="shared" si="2"/>
        <v>0</v>
      </c>
      <c r="D180" s="63" t="s">
        <v>371</v>
      </c>
      <c r="E180" s="56" t="str">
        <f>IF('市民税・県民税申告書（印刷）'!AV16&gt;0,"添付","")</f>
        <v/>
      </c>
      <c r="F180" s="56" t="str">
        <f t="shared" si="5"/>
        <v>0</v>
      </c>
      <c r="G180" s="58" t="s">
        <v>374</v>
      </c>
      <c r="H180" s="45"/>
      <c r="I180" s="45"/>
      <c r="J180" s="45"/>
      <c r="K180" s="45"/>
    </row>
    <row r="181" spans="1:12">
      <c r="C181" s="73">
        <f t="shared" si="2"/>
        <v>0</v>
      </c>
      <c r="D181" s="63" t="s">
        <v>372</v>
      </c>
      <c r="E181" s="56" t="str">
        <f>IF('市民税・県民税申告書（印刷）'!AV17&gt;0,"添付","")</f>
        <v/>
      </c>
      <c r="F181" s="56" t="str">
        <f t="shared" si="5"/>
        <v>0</v>
      </c>
      <c r="G181" s="58" t="s">
        <v>375</v>
      </c>
    </row>
    <row r="182" spans="1:12">
      <c r="C182" s="73">
        <f t="shared" si="2"/>
        <v>0</v>
      </c>
      <c r="D182" s="63" t="s">
        <v>373</v>
      </c>
      <c r="E182" s="56" t="str">
        <f>IF('市民税・県民税申告書（印刷）'!AV18&gt;0,"添付","")</f>
        <v/>
      </c>
      <c r="F182" s="56" t="str">
        <f t="shared" si="5"/>
        <v>0</v>
      </c>
      <c r="G182" s="58" t="s">
        <v>376</v>
      </c>
      <c r="I182" s="45"/>
    </row>
    <row r="183" spans="1:12">
      <c r="C183" s="73">
        <f t="shared" si="2"/>
        <v>0</v>
      </c>
      <c r="D183" s="63" t="s">
        <v>470</v>
      </c>
      <c r="E183" s="56" t="str">
        <f>IF(OR('市民税・県民税申告書（印刷）'!AV60&gt;0,'市民税・県民税申告書（印刷）'!AV61&gt;0,'市民税・県民税申告書（印刷）'!AV62&gt;0,'市民税・県民税申告書（印刷）'!AV63&gt;0,'市民税・県民税申告書（印刷）'!AV64&gt;0),"添付","")</f>
        <v/>
      </c>
      <c r="F183" s="56" t="str">
        <f t="shared" si="4"/>
        <v>0</v>
      </c>
      <c r="G183" s="58" t="s">
        <v>1095</v>
      </c>
    </row>
    <row r="184" spans="1:12">
      <c r="C184" s="73">
        <f t="shared" si="2"/>
        <v>0</v>
      </c>
      <c r="D184" s="63" t="s">
        <v>988</v>
      </c>
      <c r="E184" s="58" t="str">
        <f>IF('市民税・県民税申告書（印刷）'!AV47&gt;0,"添付","")</f>
        <v/>
      </c>
      <c r="F184" s="56" t="str">
        <f t="shared" si="4"/>
        <v>0</v>
      </c>
      <c r="G184" s="58" t="s">
        <v>1096</v>
      </c>
    </row>
    <row r="185" spans="1:12">
      <c r="C185" s="73">
        <f t="shared" si="2"/>
        <v>0</v>
      </c>
      <c r="D185" s="63"/>
      <c r="E185" s="58"/>
      <c r="F185" s="56" t="str">
        <f t="shared" si="4"/>
        <v>0</v>
      </c>
      <c r="G185" s="58"/>
    </row>
    <row r="186" spans="1:12" ht="28.5">
      <c r="C186" s="216" t="s">
        <v>984</v>
      </c>
      <c r="D186" s="216"/>
      <c r="E186" s="196" t="s">
        <v>821</v>
      </c>
      <c r="F186" s="202" t="s">
        <v>822</v>
      </c>
    </row>
    <row r="187" spans="1:12"/>
    <row r="188" spans="1:12" s="101" customFormat="1">
      <c r="A188" s="101">
        <v>12</v>
      </c>
      <c r="B188" s="101" t="s">
        <v>1256</v>
      </c>
      <c r="C188" s="97"/>
      <c r="D188" s="97"/>
      <c r="E188" s="99"/>
      <c r="F188" s="100"/>
      <c r="G188" s="99"/>
      <c r="H188" s="97"/>
      <c r="I188" s="97"/>
      <c r="J188" s="97"/>
      <c r="K188" s="97"/>
      <c r="L188" s="97"/>
    </row>
    <row r="189" spans="1:12" s="46" customFormat="1">
      <c r="C189" s="48" t="s">
        <v>178</v>
      </c>
      <c r="D189" s="48">
        <f>社会保険・生命・地震保険!I8</f>
        <v>0</v>
      </c>
      <c r="E189" s="206"/>
      <c r="F189" s="207"/>
      <c r="G189" s="206"/>
      <c r="H189" s="205"/>
      <c r="I189" s="205"/>
      <c r="J189" s="205"/>
      <c r="K189" s="205"/>
      <c r="L189" s="205"/>
    </row>
    <row r="190" spans="1:12" s="46" customFormat="1">
      <c r="C190" s="205"/>
      <c r="D190" s="205"/>
      <c r="E190" s="206"/>
      <c r="F190" s="207"/>
      <c r="G190" s="206"/>
      <c r="H190" s="205"/>
      <c r="I190" s="205"/>
      <c r="J190" s="205"/>
      <c r="K190" s="205"/>
      <c r="L190" s="205"/>
    </row>
    <row r="191" spans="1:12">
      <c r="C191" s="39" t="s">
        <v>1434</v>
      </c>
    </row>
    <row r="192" spans="1:12">
      <c r="C192" s="80" t="s">
        <v>179</v>
      </c>
      <c r="D192" s="48" t="s">
        <v>1257</v>
      </c>
      <c r="E192" s="725" t="s">
        <v>1258</v>
      </c>
      <c r="F192" s="50" t="s">
        <v>1259</v>
      </c>
      <c r="G192" s="725" t="s">
        <v>1260</v>
      </c>
      <c r="H192" s="48" t="s">
        <v>1261</v>
      </c>
      <c r="I192" s="54" t="s">
        <v>1262</v>
      </c>
      <c r="J192" s="54" t="s">
        <v>1263</v>
      </c>
      <c r="K192" s="48" t="s">
        <v>1264</v>
      </c>
    </row>
    <row r="193" spans="3:11">
      <c r="C193" s="80" t="s">
        <v>380</v>
      </c>
      <c r="D193" s="87">
        <f>社会保険・生命・地震保険!I21</f>
        <v>0</v>
      </c>
      <c r="E193" s="87">
        <f>社会保険・生命・地震保険!I22</f>
        <v>0</v>
      </c>
      <c r="F193" s="87">
        <f>社会保険・生命・地震保険!I18</f>
        <v>0</v>
      </c>
      <c r="G193" s="87">
        <f>社会保険・生命・地震保険!I19</f>
        <v>0</v>
      </c>
      <c r="H193" s="87">
        <f>社会保険・生命・地震保険!I20</f>
        <v>0</v>
      </c>
      <c r="I193" s="167"/>
      <c r="J193" s="167"/>
      <c r="K193" s="167"/>
    </row>
    <row r="194" spans="3:11">
      <c r="C194" s="80" t="s">
        <v>419</v>
      </c>
      <c r="D194" s="87">
        <f>ROUNDUP(IF(D193&lt;=25000,D193,
IF(AND(25000&lt;D193,D193&lt;=50000),ROUNDUP(D193*0.5+12500,0),
IF(AND(50000&lt;D193,D193&lt;=100000),ROUNDUP(D193*0.25+25000,0),50000))),0)</f>
        <v>0</v>
      </c>
      <c r="E194" s="87">
        <f>ROUNDUP(IF(E193&lt;=25000,E193,
IF(AND(25000&lt;E193,E193&lt;=50000),ROUNDUP(E193*0.5+12500,0),
IF(AND(50000&lt;E193,E193&lt;=100000),ROUNDUP(E193*0.25+25000,0),50000))),0)</f>
        <v>0</v>
      </c>
      <c r="F194" s="87">
        <f>ROUNDUP(IF(F193&lt;=20000,F193,
IF(AND(20000&lt;F193,F193&lt;=40000),ROUNDUP(F193*0.5+10000,0),
IF(AND(40000&lt;F193,F193&lt;=80000),ROUNDUP(F193*0.25+20000,0),40000))),0)</f>
        <v>0</v>
      </c>
      <c r="G194" s="87">
        <f>ROUNDUP(IF(G193&lt;=20000,G193,
IF(AND(20000&lt;G193,G193&lt;=40000),ROUNDUP(G193*0.5+10000,0),
IF(AND(40000&lt;G193,G193&lt;=80000),ROUNDUP(G193*0.25+20000,0),40000))),0)</f>
        <v>0</v>
      </c>
      <c r="H194" s="87">
        <f>ROUNDUP(IF(H193&lt;=20000,H193,
IF(AND(20000&lt;H193,H193&lt;=40000),ROUNDUP(H193*0.5+10000,0),
IF(AND(40000&lt;H193,H193&lt;=80000),ROUNDUP(H193*0.25+20000,0),40000))),0)</f>
        <v>0</v>
      </c>
      <c r="I194" s="87">
        <f>MIN(D194+F194,40000)</f>
        <v>0</v>
      </c>
      <c r="J194" s="87">
        <f>MIN(E194+G194,40000)</f>
        <v>0</v>
      </c>
      <c r="K194" s="87">
        <f>MIN(MAX(D194,F194,I194)+MAX(E194,G194,J194)+H194,120000)</f>
        <v>0</v>
      </c>
    </row>
    <row r="195" spans="3:11"/>
    <row r="196" spans="3:11">
      <c r="C196" s="39" t="s">
        <v>1435</v>
      </c>
    </row>
    <row r="197" spans="3:11">
      <c r="C197" s="80" t="s">
        <v>576</v>
      </c>
      <c r="D197" s="48" t="s">
        <v>577</v>
      </c>
      <c r="E197" s="80" t="s">
        <v>416</v>
      </c>
      <c r="F197" s="48" t="s">
        <v>417</v>
      </c>
      <c r="G197" s="725" t="s">
        <v>418</v>
      </c>
      <c r="H197" s="50" t="s">
        <v>419</v>
      </c>
    </row>
    <row r="198" spans="3:11">
      <c r="C198" s="168">
        <f>社会保険・生命・地震保険!I26</f>
        <v>0</v>
      </c>
      <c r="D198" s="168">
        <f>社会保険・生命・地震保険!I27</f>
        <v>0</v>
      </c>
      <c r="E198" s="88">
        <f>ROUNDUP(IF(C198&lt;=50000,C198,50000),0)</f>
        <v>0</v>
      </c>
      <c r="F198" s="88">
        <f>ROUNDUP(IF(D198&lt;=10000,D198,IF(AND(10000&lt;D198,D198&lt;=20000),D198*0.5+5000,15000)),0)</f>
        <v>0</v>
      </c>
      <c r="G198" s="88">
        <f>MIN(E198+F198,50000)</f>
        <v>0</v>
      </c>
      <c r="H198" s="88">
        <f>MAX(E198,F198,G198)</f>
        <v>0</v>
      </c>
    </row>
    <row r="199" spans="3:11"/>
    <row r="200" spans="3:11">
      <c r="C200" s="200" t="s">
        <v>1436</v>
      </c>
    </row>
    <row r="201" spans="3:11">
      <c r="C201" s="80" t="s">
        <v>419</v>
      </c>
      <c r="D201" s="48" t="s">
        <v>1265</v>
      </c>
      <c r="E201" s="725" t="s">
        <v>1266</v>
      </c>
    </row>
    <row r="202" spans="3:11">
      <c r="C202" s="88">
        <f>IF(AND(寡婦・ひとり親・勤労学生!C2="■",'市民税・県民税申告書（印刷）'!AV41&lt;=5000000),350000,IF(AND(寡婦・ひとり親・勤労学生!C12="■",'市民税・県民税申告書（印刷）'!AV41&lt;=5000000),270000,0))</f>
        <v>0</v>
      </c>
      <c r="D202" s="48" t="str">
        <f>ふるさと納税・税額試算!C2</f>
        <v>　</v>
      </c>
      <c r="E202" s="725">
        <f>IF(C202=270000,"寡婦",IF(AND(C202=350000,D202="女"),"女ひとり親",IF(AND(C202=350000,D202="男"),"男ひとり親",0)))</f>
        <v>0</v>
      </c>
    </row>
    <row r="203" spans="3:11"/>
    <row r="204" spans="3:11">
      <c r="C204" s="39" t="s">
        <v>1437</v>
      </c>
    </row>
    <row r="205" spans="3:11">
      <c r="C205" s="63">
        <f>IF(AND(寡婦・ひとり親・勤労学生!C25="■",'市民税・県民税申告書（印刷）'!AV41&lt;750000),270000,0)</f>
        <v>0</v>
      </c>
    </row>
    <row r="206" spans="3:11"/>
    <row r="207" spans="3:11"/>
    <row r="208" spans="3:11">
      <c r="C208" s="39" t="s">
        <v>1438</v>
      </c>
    </row>
    <row r="209" spans="3:15">
      <c r="C209" s="80" t="s">
        <v>323</v>
      </c>
      <c r="D209" s="80" t="s">
        <v>733</v>
      </c>
      <c r="F209" s="87" t="s">
        <v>1447</v>
      </c>
    </row>
    <row r="210" spans="3:15">
      <c r="C210" s="170">
        <f>IF(障害者控除!F17="障害者",270000,IF(障害者控除!F17="特別障害者",400000,0))</f>
        <v>0</v>
      </c>
      <c r="D210" s="170">
        <f>IF(AND(障害者控除!F17="特別障害者",障害者控除!F14="同居"),350000,0)</f>
        <v>0</v>
      </c>
      <c r="F210" s="87">
        <f>G161</f>
        <v>0</v>
      </c>
    </row>
    <row r="211" spans="3:15">
      <c r="C211" s="170">
        <f>IF(障害者控除!F24="障害者",270000,IF(障害者控除!F24="特別障害者",400000,0))</f>
        <v>0</v>
      </c>
      <c r="D211" s="170">
        <f>IF(AND(障害者控除!F21="特別障害者",障害者控除!F21="同居"),350000,0)</f>
        <v>0</v>
      </c>
    </row>
    <row r="212" spans="3:15"/>
    <row r="213" spans="3:15">
      <c r="C213" s="45" t="s">
        <v>1439</v>
      </c>
      <c r="D213" s="80" t="s">
        <v>341</v>
      </c>
      <c r="E213" s="80" t="s">
        <v>1267</v>
      </c>
      <c r="F213" s="80" t="s">
        <v>1268</v>
      </c>
      <c r="G213" s="80" t="s">
        <v>1269</v>
      </c>
      <c r="H213" s="80" t="s">
        <v>1270</v>
      </c>
      <c r="I213" s="80" t="s">
        <v>334</v>
      </c>
      <c r="J213" s="80" t="s">
        <v>335</v>
      </c>
      <c r="K213" s="80" t="s">
        <v>336</v>
      </c>
      <c r="L213" s="80" t="s">
        <v>337</v>
      </c>
      <c r="M213" s="80" t="s">
        <v>338</v>
      </c>
      <c r="N213" s="80" t="s">
        <v>339</v>
      </c>
      <c r="O213" s="80" t="s">
        <v>340</v>
      </c>
    </row>
    <row r="214" spans="3:15">
      <c r="C214" s="80" t="s">
        <v>837</v>
      </c>
      <c r="D214" s="61">
        <f>SUM(E214:O214)</f>
        <v>0</v>
      </c>
      <c r="E214" s="61" t="str">
        <f>IF($H$59="","",IF(AND(480000&lt;$J$59,$J$59&lt;500000,$C$55&lt;=9000000),380000,""))</f>
        <v/>
      </c>
      <c r="F214" s="61" t="str">
        <f>IF($H$59="","",IF(AND(500000&lt;=$J$59,$J$59&lt;550000,$C$55&lt;=9000000),380000,""))</f>
        <v/>
      </c>
      <c r="G214" s="61" t="str">
        <f>IF($H$59="","",IF(AND(550000&lt;=$J$59,$J$59&lt;=950000,$C$55&lt;=9000000),380000,""))</f>
        <v/>
      </c>
      <c r="H214" s="61" t="str">
        <f>IF($H$59="","",IF(AND(1000000&lt;$J$59,$J$59&lt;=1050000,$C$55&lt;=9000000),360000,""))</f>
        <v/>
      </c>
      <c r="I214" s="61" t="str">
        <f>IF($H$59="","",IF(AND(1000000&lt;$J$59,$J$59&lt;=1050000,$C$55&lt;=9000000),310000,""))</f>
        <v/>
      </c>
      <c r="J214" s="61" t="str">
        <f>IF($H$59="","",IF(AND(1050000&lt;$J$59,$J$59&lt;=1100000,$C$55&lt;=9000000),260000,""))</f>
        <v/>
      </c>
      <c r="K214" s="61" t="str">
        <f>IF($H$59="","",IF(AND(1100000&lt;$J$59,$J$59&lt;=1150000,$C$55&lt;=9000000),210000,""))</f>
        <v/>
      </c>
      <c r="L214" s="61" t="str">
        <f>IF($H$59="","",IF(AND(1150000&lt;$J$59,$J$59&lt;=1200000,$C$55&lt;=9000000),160000,""))</f>
        <v/>
      </c>
      <c r="M214" s="61" t="str">
        <f>IF($H$59="","",IF(AND(1200000&lt;$J$59,$J$59&lt;=1250000,$C$55&lt;=9000000),110000,""))</f>
        <v/>
      </c>
      <c r="N214" s="61" t="str">
        <f>IF($H$59="","",IF(AND(1250000&lt;$J$59,$J$59&lt;=1300000,$C$55&lt;=9000000),60000,""))</f>
        <v/>
      </c>
      <c r="O214" s="61" t="str">
        <f>IF($H$59="","",IF(AND(1300000&lt;$J$59,$J$59&lt;=1330000,$C$55&lt;=9000000),30000,""))</f>
        <v/>
      </c>
    </row>
    <row r="215" spans="3:15">
      <c r="C215" s="129" t="s">
        <v>838</v>
      </c>
      <c r="D215" s="61">
        <f>SUM(E215:O215)</f>
        <v>0</v>
      </c>
      <c r="E215" s="61" t="str">
        <f>IF($H$59="","",IF(AND(480000&lt;$J$59,$J$59&lt;500000,9000000&lt;$C$55,$C$55&lt;=9500000),260000,""))</f>
        <v/>
      </c>
      <c r="F215" s="61" t="str">
        <f>IF($H$59="","",IF(AND(500000&lt;=$J$59,$J$59&lt;550000,9000000&lt;$C$55,$C$55&lt;=9500000),260000,""))</f>
        <v/>
      </c>
      <c r="G215" s="61" t="str">
        <f>IF($H$59="","",IF(AND(550000&lt;=$J$59,$J$59&lt;=950000,9000000&lt;$C$55,$C$55&lt;=9500000),260000,""))</f>
        <v/>
      </c>
      <c r="H215" s="61" t="str">
        <f>IF($H$59="","",IF(AND(950000&lt;$J$59,$J$59&lt;=1000000,9000000&lt;$C$55,$C$55&lt;=9500000),240000,""))</f>
        <v/>
      </c>
      <c r="I215" s="61" t="str">
        <f>IF($H$59="","",IF(AND(1000000&lt;$J$59,$J$59&lt;=1050000,9000000&lt;$C$55,$C$55&lt;=9500000),210000,""))</f>
        <v/>
      </c>
      <c r="J215" s="61" t="str">
        <f>IF($H$59="","",IF(AND(1050000&lt;$J$59,$J$59&lt;=1100000,9000000&lt;$C$55,$C$55&lt;=9500000),180000,""))</f>
        <v/>
      </c>
      <c r="K215" s="61" t="str">
        <f>IF($H$59="","",IF(AND(1100000&lt;$J$59,$J$59&lt;=1150000,9000000&lt;$C$55,$C$55&lt;=9500000),140000,""))</f>
        <v/>
      </c>
      <c r="L215" s="61" t="str">
        <f>IF($H$59="","",IF(AND(1150000&lt;$J$59,$J$59&lt;=1200000,9000000&lt;$C$55,$C$55&lt;=9500000),110000,""))</f>
        <v/>
      </c>
      <c r="M215" s="61" t="str">
        <f>IF($H$59="","",IF(AND(1200000&lt;$J$59,$J$59&lt;=1250000,9000000&lt;$C$55,$C$55&lt;=9500000),80000,""))</f>
        <v/>
      </c>
      <c r="N215" s="61" t="str">
        <f>IF($H$59="","",IF(AND(1250000&lt;$J$59,$J$59&lt;=1300000,9000000&lt;$C$55,$C$55&lt;=9500000),40000,""))</f>
        <v/>
      </c>
      <c r="O215" s="61" t="str">
        <f>IF($H$59="","",IF(AND(1300000&lt;$J$59,$J$59&lt;=1330000,9000000&lt;$C$55,$C$55&lt;=9500000),20000,""))</f>
        <v/>
      </c>
    </row>
    <row r="216" spans="3:15">
      <c r="C216" s="59" t="s">
        <v>839</v>
      </c>
      <c r="D216" s="61">
        <f>SUM(E216:O216)</f>
        <v>0</v>
      </c>
      <c r="E216" s="61" t="str">
        <f>IF($H$59="","",IF(AND(480000&lt;$J$59,$J$59&lt;500000,9500000&lt;$C$55,$C$55&lt;=10000000),130000,""))</f>
        <v/>
      </c>
      <c r="F216" s="61" t="str">
        <f>IF($H$59="","",IF(AND(500000&lt;=$J$59,$J$59&lt;550000,9500000&lt;$C$55,$C$55&lt;=10000000),130000,""))</f>
        <v/>
      </c>
      <c r="G216" s="61" t="str">
        <f>IF($H$59="","",IF(AND(550000&lt;=$J$59,$J$59&lt;=950000,9500000&lt;$C$55,$C$55&lt;=10000000),130000,""))</f>
        <v/>
      </c>
      <c r="H216" s="61" t="str">
        <f>IF($H$59="","",IF(AND(1000000&lt;$J$59,$J$59&lt;=1050000,9500000&lt;$C$55,$C$55&lt;=10000000),120000,""))</f>
        <v/>
      </c>
      <c r="I216" s="61" t="str">
        <f>IF($H$59="","",IF(AND(1000000&lt;$J$59,$J$59&lt;=1050000,9500000&lt;$C$55,$C$55&lt;=10000000),110000,""))</f>
        <v/>
      </c>
      <c r="J216" s="61" t="str">
        <f>IF($H$59="","",IF(AND(1050000&lt;$J$59,$J$59&lt;=1100000,9500000&lt;$C$55,$C$55&lt;=10000000),90000,""))</f>
        <v/>
      </c>
      <c r="K216" s="61" t="str">
        <f>IF($H$59="","",IF(AND(1100000&lt;$J$59,$J$59&lt;=1150000,9500000&lt;$C$55,$C$55&lt;=10000000),70000,""))</f>
        <v/>
      </c>
      <c r="L216" s="61" t="str">
        <f>IF($H$59="","",IF(AND(1150000&lt;$J$59,$J$59&lt;=1200000,9500000&lt;$C$55,$C$55&lt;=10000000),60000,""))</f>
        <v/>
      </c>
      <c r="M216" s="61" t="str">
        <f>IF($H$59="","",IF(AND(1200000&lt;$J$59,$J$59&lt;=1250000,9500000&lt;$C$55,$C$55&lt;=10000000),40000,""))</f>
        <v/>
      </c>
      <c r="N216" s="61" t="str">
        <f>IF($H$59="","",IF(AND(1250000&lt;$J$59,$J$59&lt;=1300000,9500000&lt;$C$55,$C$55&lt;=10000000),20000,""))</f>
        <v/>
      </c>
      <c r="O216" s="61" t="str">
        <f>IF($H$59="","",IF(AND(1300000&lt;$J$59,$J$59&lt;=1330000,9500000&lt;$C$55,$C$55&lt;=10000000),10000,""))</f>
        <v/>
      </c>
    </row>
    <row r="217" spans="3:15"/>
    <row r="218" spans="3:15">
      <c r="C218" s="39" t="s">
        <v>1440</v>
      </c>
      <c r="F218" s="41" t="s">
        <v>1443</v>
      </c>
    </row>
    <row r="219" spans="3:15">
      <c r="C219" s="63" t="s">
        <v>670</v>
      </c>
      <c r="D219" s="63" t="s">
        <v>890</v>
      </c>
      <c r="F219" s="50" t="s">
        <v>1334</v>
      </c>
      <c r="H219" s="48" t="s">
        <v>1345</v>
      </c>
    </row>
    <row r="220" spans="3:15">
      <c r="C220" s="63">
        <f>IF(C63=330000,380000,IF(C63=220000,260000,IF(C63=110000,130000,IF(C63=380000,480000,IF(C63=260000,320000,IF(C63=130000,160000,0))))))</f>
        <v>0</v>
      </c>
      <c r="D220" s="61">
        <f>MAX(D214:D216)</f>
        <v>0</v>
      </c>
      <c r="F220" s="50">
        <f>SUM(F241:F246,F253:F256,F223)</f>
        <v>0</v>
      </c>
      <c r="H220" s="48">
        <f>C1-179998</f>
        <v>20060103</v>
      </c>
    </row>
    <row r="221" spans="3:15">
      <c r="C221" s="39" t="s">
        <v>1441</v>
      </c>
    </row>
    <row r="222" spans="3:15">
      <c r="C222" s="63" t="s">
        <v>1271</v>
      </c>
      <c r="D222" s="63">
        <f>IF(AND(I77&lt;=$D$84,J77="同居（直系尊属）"),580000,IF(I77&lt;=$D$84,480000,IF(AND(I77&gt;$D$84,I77&lt;=$E$84),380000,IF(AND(I77&gt;$E$84,I77&lt;=$F$84),630000,IF(AND(I77&gt;$F$84,I77&lt;=$G$84),380000,0)))))</f>
        <v>0</v>
      </c>
      <c r="F222" s="50" t="s">
        <v>1425</v>
      </c>
      <c r="H222" s="48" t="s">
        <v>1342</v>
      </c>
      <c r="I222" s="48" t="s">
        <v>1343</v>
      </c>
      <c r="J222" s="48" t="s">
        <v>1344</v>
      </c>
    </row>
    <row r="223" spans="3:15">
      <c r="C223" s="63" t="s">
        <v>1272</v>
      </c>
      <c r="D223" s="63">
        <f>IF(AND(I78&lt;=$D$84,J78="同居（直系尊属）"),580000,IF(I78&lt;=$D$84,480000,IF(AND(I78&gt;$D$84,I78&lt;=$E$84),380000,IF(AND(I78&gt;$E$84,I78&lt;=$F$84),630000,IF(AND(I78&gt;$F$84,I78&lt;=$G$84),380000,0)))))</f>
        <v>0</v>
      </c>
      <c r="F223" s="50">
        <f>COUNT(N227:N229)</f>
        <v>0</v>
      </c>
      <c r="H223" s="169">
        <f>IF(OR(H6&lt;H220,H6=""),0,1350000)</f>
        <v>0</v>
      </c>
      <c r="I223" s="169">
        <f>IF(C202&gt;0,1350000,0)</f>
        <v>0</v>
      </c>
      <c r="J223" s="169">
        <f>IF(ふるさと納税・税額試算!C4="本人",1350000,0)</f>
        <v>0</v>
      </c>
    </row>
    <row r="224" spans="3:15" ht="28.5">
      <c r="C224" s="63" t="s">
        <v>1273</v>
      </c>
      <c r="D224" s="63">
        <f>IF(AND(I79&lt;=$D$84,J79="同居（直系尊属）"),580000,IF(I79&lt;=$D$84,480000,IF(AND(I79&gt;$D$84,I79&lt;=$E$84),380000,IF(AND(I79&gt;$E$84,I79&lt;=$F$84),630000,IF(AND(I79&gt;$F$84,I79&lt;=$G$84),380000,0)))))</f>
        <v>0</v>
      </c>
      <c r="H224" s="798" t="s">
        <v>1444</v>
      </c>
      <c r="I224" s="798" t="s">
        <v>1445</v>
      </c>
      <c r="J224" s="798" t="s">
        <v>1446</v>
      </c>
    </row>
    <row r="225" spans="3:14">
      <c r="C225" s="63" t="s">
        <v>1274</v>
      </c>
      <c r="D225" s="63">
        <f>IF(AND(I80&lt;=$D$84,J80="同居（直系尊属）"),580000,IF(I80&lt;=$D$84,480000,IF(AND(I80&gt;$D$84,I80&lt;=$E$84),380000,IF(AND(I80&gt;$E$84,I80&lt;=$F$84),630000,IF(AND(I80&gt;$F$84,I80&lt;=$G$84),380000,0)))))</f>
        <v>0</v>
      </c>
    </row>
    <row r="226" spans="3:14">
      <c r="F226" s="50" t="s">
        <v>1335</v>
      </c>
      <c r="H226" s="59" t="s">
        <v>1442</v>
      </c>
      <c r="I226" s="48" t="s">
        <v>449</v>
      </c>
      <c r="J226" s="730" t="s">
        <v>149</v>
      </c>
      <c r="K226" s="50" t="s">
        <v>144</v>
      </c>
      <c r="L226" s="730" t="s">
        <v>140</v>
      </c>
      <c r="M226" s="730" t="s">
        <v>546</v>
      </c>
      <c r="N226" s="730" t="s">
        <v>547</v>
      </c>
    </row>
    <row r="227" spans="3:14">
      <c r="C227" s="63" t="s">
        <v>1275</v>
      </c>
      <c r="D227" s="63"/>
      <c r="F227" s="87">
        <f>IF(F220=0,415000,315000*(F220+1)+100000+189000)</f>
        <v>415000</v>
      </c>
      <c r="H227" s="59" t="s">
        <v>321</v>
      </c>
      <c r="I227" s="51" t="str">
        <f>IF(配偶者・扶養!J45&lt;1000,配偶者・扶養!I45&amp;配偶者・扶養!J45,"")</f>
        <v>選択してください</v>
      </c>
      <c r="J227" s="52" t="str">
        <f>IF(OR(配偶者・扶養!I45="西暦",配偶者・扶養!J45&gt;1000),配偶者・扶養!J45,"")</f>
        <v/>
      </c>
      <c r="K227" s="98">
        <f>配偶者・扶養!K45</f>
        <v>0</v>
      </c>
      <c r="L227" s="98">
        <f>配偶者・扶養!L45</f>
        <v>0</v>
      </c>
      <c r="M227" s="730" t="str">
        <f>I227&amp;J227&amp;"年"&amp;K227&amp;"月"&amp;L227&amp;"日"</f>
        <v>選択してください年0月0日</v>
      </c>
      <c r="N227" s="53" t="str">
        <f>IFERROR(VALUE(TEXT(DATEVALUE(M227),"yyyymmdd")),"")</f>
        <v/>
      </c>
    </row>
    <row r="228" spans="3:14">
      <c r="H228" s="59" t="s">
        <v>322</v>
      </c>
      <c r="I228" s="51" t="str">
        <f>IF(配偶者・扶養!J50&lt;1000,配偶者・扶養!I50&amp;配偶者・扶養!J50,"")</f>
        <v>選択してください</v>
      </c>
      <c r="J228" s="52" t="str">
        <f>IF(OR(配偶者・扶養!I50="西暦",配偶者・扶養!J50&gt;1000),配偶者・扶養!J50,"")</f>
        <v/>
      </c>
      <c r="K228" s="98">
        <f>配偶者・扶養!K50</f>
        <v>0</v>
      </c>
      <c r="L228" s="98">
        <f>配偶者・扶養!L50</f>
        <v>0</v>
      </c>
      <c r="M228" s="730" t="str">
        <f>I228&amp;J228&amp;"年"&amp;K228&amp;"月"&amp;L228&amp;"日"</f>
        <v>選択してください年0月0日</v>
      </c>
      <c r="N228" s="53" t="str">
        <f>IFERROR(VALUE(TEXT(DATEVALUE(M228),"yyyymmdd")),"")</f>
        <v/>
      </c>
    </row>
    <row r="229" spans="3:14">
      <c r="C229" s="63" t="s">
        <v>698</v>
      </c>
      <c r="D229" s="170">
        <f>IF('市民税・県民税申告書（印刷）'!AV41&lt;=24000000,480000,IF(AND(24000000&lt;='市民税・県民税申告書（印刷）'!AV41,'市民税・県民税申告書（印刷）'!AV41&lt;24500000),320000,IF(AND(24500000&lt;='市民税・県民税申告書（印刷）'!AV41,'市民税・県民税申告書（印刷）'!AV41&lt;=25000000),160000,IF(25000000&lt;'市民税・県民税申告書（印刷）'!AV41,0,""))))</f>
        <v>480000</v>
      </c>
      <c r="F229" s="50" t="s">
        <v>1336</v>
      </c>
      <c r="H229" s="59" t="s">
        <v>1426</v>
      </c>
      <c r="I229" s="51" t="str">
        <f>IF(配偶者・扶養!J55&lt;1000,配偶者・扶養!I55&amp;配偶者・扶養!J55,"")</f>
        <v>選択してください</v>
      </c>
      <c r="J229" s="52" t="str">
        <f>IF(OR(配偶者・扶養!I55="西暦",配偶者・扶養!J55&gt;1000),配偶者・扶養!J55,"")</f>
        <v/>
      </c>
      <c r="K229" s="98">
        <f>配偶者・扶養!K55</f>
        <v>0</v>
      </c>
      <c r="L229" s="98">
        <f>配偶者・扶養!L55</f>
        <v>0</v>
      </c>
      <c r="M229" s="730" t="str">
        <f>I229&amp;J229&amp;"年"&amp;K229&amp;"月"&amp;L229&amp;"日"</f>
        <v>選択してください年0月0日</v>
      </c>
      <c r="N229" s="53" t="str">
        <f>IFERROR(VALUE(TEXT(DATEVALUE(M229),"yyyymmdd")),"")</f>
        <v/>
      </c>
    </row>
    <row r="230" spans="3:14">
      <c r="F230" s="87">
        <f>IF(F220=0,450000,350000*(F220+1)+100000+320000)</f>
        <v>450000</v>
      </c>
    </row>
    <row r="231" spans="3:14">
      <c r="C231" s="63" t="s">
        <v>1276</v>
      </c>
      <c r="D231" s="61">
        <f>SUM(D189,K194,H198,C202,C205,C210:D211,C220:D220,D222:D225,D229,F210)</f>
        <v>480000</v>
      </c>
      <c r="F231" s="207"/>
    </row>
    <row r="232" spans="3:14">
      <c r="C232" s="63" t="s">
        <v>1277</v>
      </c>
      <c r="D232" s="61">
        <f>(L261-2000)+D231</f>
        <v>478000</v>
      </c>
      <c r="F232" s="50" t="s">
        <v>1404</v>
      </c>
      <c r="G232" s="169">
        <f>MAX(MIN(C261*40/100-2000,ROUNDUP(SUM(H294:L294)-2000,0)),0)+D231</f>
        <v>480000</v>
      </c>
    </row>
    <row r="233" spans="3:14">
      <c r="F233" s="207"/>
    </row>
    <row r="234" spans="3:14">
      <c r="C234" s="39" t="s">
        <v>1278</v>
      </c>
      <c r="E234" s="725" t="s">
        <v>1278</v>
      </c>
      <c r="F234" s="50" t="s">
        <v>1279</v>
      </c>
      <c r="G234" s="725" t="s">
        <v>1279</v>
      </c>
    </row>
    <row r="235" spans="3:14">
      <c r="C235" s="1697" t="s">
        <v>1280</v>
      </c>
      <c r="D235" s="731" t="s">
        <v>1281</v>
      </c>
      <c r="E235" s="57">
        <v>10000</v>
      </c>
      <c r="F235" s="732">
        <f>COUNTIF(C210:C211,270000)</f>
        <v>0</v>
      </c>
      <c r="G235" s="69">
        <f>E235*F235</f>
        <v>0</v>
      </c>
    </row>
    <row r="236" spans="3:14">
      <c r="C236" s="1697"/>
      <c r="D236" s="731" t="s">
        <v>1282</v>
      </c>
      <c r="E236" s="57">
        <v>100000</v>
      </c>
      <c r="F236" s="732">
        <f>COUNTIF(C210:C211,400000)</f>
        <v>0</v>
      </c>
      <c r="G236" s="69">
        <f t="shared" ref="G236:G257" si="6">E236*F236</f>
        <v>0</v>
      </c>
    </row>
    <row r="237" spans="3:14">
      <c r="C237" s="1697"/>
      <c r="D237" s="731" t="s">
        <v>1283</v>
      </c>
      <c r="E237" s="57">
        <v>120000</v>
      </c>
      <c r="F237" s="732">
        <f>COUNTIF(D210:D211,350000)</f>
        <v>0</v>
      </c>
      <c r="G237" s="69">
        <f t="shared" si="6"/>
        <v>0</v>
      </c>
      <c r="H237" s="45" t="s">
        <v>1284</v>
      </c>
    </row>
    <row r="238" spans="3:14">
      <c r="C238" s="1697" t="s">
        <v>1285</v>
      </c>
      <c r="D238" s="731" t="s">
        <v>1286</v>
      </c>
      <c r="E238" s="57">
        <v>10000</v>
      </c>
      <c r="F238" s="732">
        <f>IF(OR(E202="寡婦",E202="男ひとり親"),1,0)</f>
        <v>0</v>
      </c>
      <c r="G238" s="69">
        <f t="shared" si="6"/>
        <v>0</v>
      </c>
    </row>
    <row r="239" spans="3:14">
      <c r="C239" s="1697"/>
      <c r="D239" s="731" t="s">
        <v>1287</v>
      </c>
      <c r="E239" s="57">
        <v>50000</v>
      </c>
      <c r="F239" s="732">
        <f>IF(E202="女ひとり親",1,0)</f>
        <v>0</v>
      </c>
      <c r="G239" s="69">
        <f t="shared" si="6"/>
        <v>0</v>
      </c>
    </row>
    <row r="240" spans="3:14">
      <c r="C240" s="733" t="s">
        <v>1288</v>
      </c>
      <c r="D240" s="731"/>
      <c r="E240" s="57">
        <v>10000</v>
      </c>
      <c r="F240" s="732">
        <f>COUNTIF(C205,270000)</f>
        <v>0</v>
      </c>
      <c r="G240" s="69">
        <f t="shared" si="6"/>
        <v>0</v>
      </c>
    </row>
    <row r="241" spans="3:7">
      <c r="C241" s="1697" t="s">
        <v>1289</v>
      </c>
      <c r="D241" s="57" t="s">
        <v>1290</v>
      </c>
      <c r="E241" s="57">
        <v>50000</v>
      </c>
      <c r="F241" s="732">
        <f>IF(C220=380000,1,0)</f>
        <v>0</v>
      </c>
      <c r="G241" s="69">
        <f t="shared" si="6"/>
        <v>0</v>
      </c>
    </row>
    <row r="242" spans="3:7">
      <c r="C242" s="1697"/>
      <c r="D242" s="57" t="s">
        <v>1291</v>
      </c>
      <c r="E242" s="57">
        <v>40000</v>
      </c>
      <c r="F242" s="732">
        <f>IF(C220=260000,1,0)</f>
        <v>0</v>
      </c>
      <c r="G242" s="69">
        <f t="shared" si="6"/>
        <v>0</v>
      </c>
    </row>
    <row r="243" spans="3:7">
      <c r="C243" s="1697"/>
      <c r="D243" s="57" t="s">
        <v>1292</v>
      </c>
      <c r="E243" s="57">
        <v>20000</v>
      </c>
      <c r="F243" s="732">
        <f>IF(C220=130000,1,0)</f>
        <v>0</v>
      </c>
      <c r="G243" s="69">
        <f t="shared" si="6"/>
        <v>0</v>
      </c>
    </row>
    <row r="244" spans="3:7">
      <c r="C244" s="1697"/>
      <c r="D244" s="57" t="s">
        <v>1293</v>
      </c>
      <c r="E244" s="57">
        <v>100000</v>
      </c>
      <c r="F244" s="732">
        <f>IF(C220=480000,1,0)</f>
        <v>0</v>
      </c>
      <c r="G244" s="69">
        <f t="shared" si="6"/>
        <v>0</v>
      </c>
    </row>
    <row r="245" spans="3:7">
      <c r="C245" s="1697"/>
      <c r="D245" s="57" t="s">
        <v>1294</v>
      </c>
      <c r="E245" s="57">
        <v>60000</v>
      </c>
      <c r="F245" s="732">
        <f>IF(C220=320000,1,0)</f>
        <v>0</v>
      </c>
      <c r="G245" s="69">
        <f t="shared" si="6"/>
        <v>0</v>
      </c>
    </row>
    <row r="246" spans="3:7">
      <c r="C246" s="1697"/>
      <c r="D246" s="57" t="s">
        <v>1295</v>
      </c>
      <c r="E246" s="734">
        <v>30000</v>
      </c>
      <c r="F246" s="732">
        <f>IF(C220=160000,1,0)</f>
        <v>0</v>
      </c>
      <c r="G246" s="69">
        <f t="shared" si="6"/>
        <v>0</v>
      </c>
    </row>
    <row r="247" spans="3:7">
      <c r="C247" s="1694" t="s">
        <v>890</v>
      </c>
      <c r="D247" s="734" t="s">
        <v>1296</v>
      </c>
      <c r="E247" s="734">
        <v>50000</v>
      </c>
      <c r="F247" s="732">
        <f>COUNTIF(E214,380000)</f>
        <v>0</v>
      </c>
      <c r="G247" s="69">
        <f t="shared" si="6"/>
        <v>0</v>
      </c>
    </row>
    <row r="248" spans="3:7">
      <c r="C248" s="1695"/>
      <c r="D248" s="734" t="s">
        <v>1297</v>
      </c>
      <c r="E248" s="734">
        <v>30000</v>
      </c>
      <c r="F248" s="732">
        <f>COUNTIF(F214,380000)</f>
        <v>0</v>
      </c>
      <c r="G248" s="69">
        <f t="shared" si="6"/>
        <v>0</v>
      </c>
    </row>
    <row r="249" spans="3:7">
      <c r="C249" s="1695"/>
      <c r="D249" s="734" t="s">
        <v>1298</v>
      </c>
      <c r="E249" s="734">
        <v>40000</v>
      </c>
      <c r="F249" s="732">
        <f>COUNTIF(E215,260000)</f>
        <v>0</v>
      </c>
      <c r="G249" s="69">
        <f t="shared" si="6"/>
        <v>0</v>
      </c>
    </row>
    <row r="250" spans="3:7">
      <c r="C250" s="1695"/>
      <c r="D250" s="734" t="s">
        <v>1299</v>
      </c>
      <c r="E250" s="734">
        <v>20000</v>
      </c>
      <c r="F250" s="732">
        <f>COUNTIF(F215,260000)</f>
        <v>0</v>
      </c>
      <c r="G250" s="69">
        <f t="shared" si="6"/>
        <v>0</v>
      </c>
    </row>
    <row r="251" spans="3:7">
      <c r="C251" s="1695"/>
      <c r="D251" s="734" t="s">
        <v>1300</v>
      </c>
      <c r="E251" s="734">
        <v>20000</v>
      </c>
      <c r="F251" s="732">
        <f>COUNTIF(E216,130000)</f>
        <v>0</v>
      </c>
      <c r="G251" s="69">
        <f t="shared" si="6"/>
        <v>0</v>
      </c>
    </row>
    <row r="252" spans="3:7">
      <c r="C252" s="1696"/>
      <c r="D252" s="734" t="s">
        <v>1301</v>
      </c>
      <c r="E252" s="734">
        <v>10000</v>
      </c>
      <c r="F252" s="732">
        <f>COUNTIF(F216,130000)</f>
        <v>0</v>
      </c>
      <c r="G252" s="69">
        <f t="shared" si="6"/>
        <v>0</v>
      </c>
    </row>
    <row r="253" spans="3:7">
      <c r="C253" s="1697" t="s">
        <v>1302</v>
      </c>
      <c r="D253" s="735" t="s">
        <v>1303</v>
      </c>
      <c r="E253" s="57">
        <v>50000</v>
      </c>
      <c r="F253" s="733">
        <f>COUNTIF(D222:D225,380000)</f>
        <v>0</v>
      </c>
      <c r="G253" s="69">
        <f t="shared" si="6"/>
        <v>0</v>
      </c>
    </row>
    <row r="254" spans="3:7">
      <c r="C254" s="1697"/>
      <c r="D254" s="735" t="s">
        <v>1304</v>
      </c>
      <c r="E254" s="57">
        <v>180000</v>
      </c>
      <c r="F254" s="733">
        <f>COUNTIF(D222:D225,630000)</f>
        <v>0</v>
      </c>
      <c r="G254" s="69">
        <f t="shared" si="6"/>
        <v>0</v>
      </c>
    </row>
    <row r="255" spans="3:7">
      <c r="C255" s="1697"/>
      <c r="D255" s="735" t="s">
        <v>1305</v>
      </c>
      <c r="E255" s="57">
        <v>100000</v>
      </c>
      <c r="F255" s="733">
        <f>COUNTIF(D222:D225,480000)</f>
        <v>0</v>
      </c>
      <c r="G255" s="69">
        <f t="shared" si="6"/>
        <v>0</v>
      </c>
    </row>
    <row r="256" spans="3:7">
      <c r="C256" s="1697"/>
      <c r="D256" s="735" t="s">
        <v>1306</v>
      </c>
      <c r="E256" s="57">
        <v>130000</v>
      </c>
      <c r="F256" s="733">
        <f>COUNTIF(D222:D225,580000)</f>
        <v>0</v>
      </c>
      <c r="G256" s="69">
        <f t="shared" si="6"/>
        <v>0</v>
      </c>
    </row>
    <row r="257" spans="3:13">
      <c r="C257" s="733" t="s">
        <v>1307</v>
      </c>
      <c r="D257" s="735"/>
      <c r="E257" s="57">
        <v>50000</v>
      </c>
      <c r="F257" s="733">
        <f>IF(C261&lt;=25000000,1,0)</f>
        <v>1</v>
      </c>
      <c r="G257" s="69">
        <f t="shared" si="6"/>
        <v>50000</v>
      </c>
    </row>
    <row r="258" spans="3:13">
      <c r="F258" s="50" t="s">
        <v>182</v>
      </c>
      <c r="G258" s="170">
        <f>SUM(G235:G257)</f>
        <v>50000</v>
      </c>
    </row>
    <row r="259" spans="3:13"/>
    <row r="260" spans="3:13" ht="28.5">
      <c r="C260" s="80" t="s">
        <v>176</v>
      </c>
      <c r="D260" s="80" t="s">
        <v>1308</v>
      </c>
      <c r="E260" s="48" t="s">
        <v>1309</v>
      </c>
      <c r="F260" s="48" t="s">
        <v>1310</v>
      </c>
      <c r="G260" s="725" t="s">
        <v>846</v>
      </c>
      <c r="H260" s="50" t="s">
        <v>1311</v>
      </c>
      <c r="I260" s="725" t="s">
        <v>1278</v>
      </c>
      <c r="J260" s="733" t="s">
        <v>1312</v>
      </c>
      <c r="K260" s="54" t="s">
        <v>1313</v>
      </c>
      <c r="L260" s="48" t="s">
        <v>1314</v>
      </c>
      <c r="M260" s="80" t="s">
        <v>1315</v>
      </c>
    </row>
    <row r="261" spans="3:13">
      <c r="C261" s="247">
        <f>'市民税・県民税申告書（印刷）'!AV41</f>
        <v>0</v>
      </c>
      <c r="D261" s="247">
        <f>'市民税・県民税申告書（印刷）'!AV56</f>
        <v>430000</v>
      </c>
      <c r="E261" s="87">
        <f>MAX(ROUNDDOWN(C261-D261,-3),0)</f>
        <v>0</v>
      </c>
      <c r="F261" s="87">
        <f>IF(OR(K264=0,J264=0),0,E261*10/100)</f>
        <v>0</v>
      </c>
      <c r="G261" s="87">
        <f>IF(AND(C261&lt;=25000000,E261&lt;=2000000),MIN(E261,I261)*5/100,IF(AND(P248&lt;=25000000,E261&gt;2000000),MAX(I261-(E261-2000000),50000)*5/100,0))</f>
        <v>0</v>
      </c>
      <c r="H261" s="87">
        <f>MAX(F261-G261,0)</f>
        <v>0</v>
      </c>
      <c r="I261" s="87">
        <f>G258</f>
        <v>50000</v>
      </c>
      <c r="J261" s="87">
        <f>MAX(E261-I261,0)</f>
        <v>0</v>
      </c>
      <c r="K261" s="48">
        <f>IF(AND(E267&lt;=J261,J261&lt;=F267),D267,IF(AND(E268&lt;=J261,J261&lt;=F268),D268,IF(AND(E269&lt;=J261,J261&lt;=F269),D269,IF(AND(E270&lt;=J261,J261&lt;=F270),D270,IF(AND(E271&lt;=J261,J261&lt;=F271),D271,IF(AND(E272&lt;=J261,J261&lt;=F272),D272,IF(E273&lt;=J261,D273,D273)))))))</f>
        <v>5.1049999999999995</v>
      </c>
      <c r="L261" s="169">
        <f>IF(ROUNDDOWN(H261*0.2/(0.9-K261/100),-3)&lt;=2000,0,ROUNDDOWN(H261*0.2/(0.9-K261/100)+2000,-3))</f>
        <v>0</v>
      </c>
      <c r="M261" s="88">
        <f>ROUNDUP(H261*0.2/(0.9-K261/100)+2000,0)</f>
        <v>2000</v>
      </c>
    </row>
    <row r="262" spans="3:13"/>
    <row r="263" spans="3:13">
      <c r="C263" s="48" t="s">
        <v>1316</v>
      </c>
      <c r="D263" s="48" t="s">
        <v>1405</v>
      </c>
      <c r="E263" s="129" t="s">
        <v>1410</v>
      </c>
      <c r="F263" s="50" t="s">
        <v>1411</v>
      </c>
      <c r="H263" s="60" t="s">
        <v>1317</v>
      </c>
      <c r="J263" s="48" t="s">
        <v>1337</v>
      </c>
      <c r="K263" s="48" t="s">
        <v>1338</v>
      </c>
    </row>
    <row r="264" spans="3:13">
      <c r="C264" s="169">
        <f>MAX(ROUNDDOWN('市民税・県民税申告書（印刷）'!AV41-D232,-3),0)</f>
        <v>0</v>
      </c>
      <c r="D264" s="87">
        <f>MAX(ROUNDDOWN('市民税・県民税申告書（印刷）'!AV41-G232,-3),0)</f>
        <v>0</v>
      </c>
      <c r="E264" s="129">
        <f>IF(AND(E267&lt;=C264,C264&lt;=F267),D267,IF(AND(E268&lt;=C264,C264&lt;=F268),D268,IF(AND(E269&lt;=C264,C264&lt;=F269),D269,IF(AND(E270&lt;=C264,C264&lt;=F270),D270,IF(AND(E271&lt;=C264,C264&lt;=F271),D271,IF(AND(E272&lt;=C264,C264&lt;=F272),D272,IF(E273&lt;=C264,D273,D273)))))))</f>
        <v>5.1049999999999995</v>
      </c>
      <c r="F264" s="761">
        <f>IF(AND(E267&lt;=D264,D264&lt;=F267),D267,IF(AND(E268&lt;=D264,D264&lt;=F268),D268,IF(AND(E269&lt;=D264,D264&lt;=F269),D269,IF(AND(E270&lt;=D264,D264&lt;=F270),D270,IF(AND(E271&lt;=D264,D264&lt;=F271),D271,IF(AND(E272&lt;=D264,D264&lt;=F272),D272,IF(E273&lt;=D264,D273,D273)))))))</f>
        <v>5.1049999999999995</v>
      </c>
      <c r="H264" s="60" t="str">
        <f>IF(AND(K261=E264,K261=F264),"","注意）所得税の確定申告をする場合、2,000円を超えた分について全額控除できない可能性があります。上限額を寄附したときの所得税の確定申告書における所得税率と住民税の課税総所得金額等から特例控除を算出するときの割合（％）が異なります。")</f>
        <v/>
      </c>
      <c r="J264" s="169">
        <f>IF(OR(C261&lt;=F227,C261&lt;=H223,C261&lt;=I223,C261&lt;=J223),0,"均等割課税")</f>
        <v>0</v>
      </c>
      <c r="K264" s="88">
        <f>IF(OR(C261&lt;=F230,C261&lt;=H223,C261&lt;=I223,C261&lt;=J223),0,"所得割課税")</f>
        <v>0</v>
      </c>
    </row>
    <row r="265" spans="3:13">
      <c r="C265" s="753" t="s">
        <v>1406</v>
      </c>
      <c r="D265" s="753" t="s">
        <v>1407</v>
      </c>
    </row>
    <row r="266" spans="3:13"/>
    <row r="267" spans="3:13" ht="15.75">
      <c r="C267" s="736">
        <v>5</v>
      </c>
      <c r="D267" s="737">
        <f t="shared" ref="D267:D272" si="7">C267*1.021</f>
        <v>5.1049999999999995</v>
      </c>
      <c r="E267" s="738">
        <v>0</v>
      </c>
      <c r="F267" s="738">
        <v>1949000</v>
      </c>
      <c r="G267" s="739">
        <v>0</v>
      </c>
      <c r="I267" s="740"/>
      <c r="J267" s="741"/>
    </row>
    <row r="268" spans="3:13" ht="15.75">
      <c r="C268" s="736">
        <v>10</v>
      </c>
      <c r="D268" s="737">
        <f t="shared" si="7"/>
        <v>10.209999999999999</v>
      </c>
      <c r="E268" s="738">
        <v>1950000</v>
      </c>
      <c r="F268" s="738">
        <v>3299000</v>
      </c>
      <c r="G268" s="739">
        <v>97500</v>
      </c>
      <c r="I268" s="740"/>
      <c r="J268" s="741"/>
    </row>
    <row r="269" spans="3:13" ht="15.75">
      <c r="C269" s="736">
        <v>20</v>
      </c>
      <c r="D269" s="737">
        <f t="shared" si="7"/>
        <v>20.419999999999998</v>
      </c>
      <c r="E269" s="738">
        <v>3300000</v>
      </c>
      <c r="F269" s="738">
        <v>6949000</v>
      </c>
      <c r="G269" s="739">
        <v>427500</v>
      </c>
      <c r="I269" s="64"/>
      <c r="J269" s="742"/>
    </row>
    <row r="270" spans="3:13" ht="15.75">
      <c r="C270" s="736">
        <v>23</v>
      </c>
      <c r="D270" s="737">
        <f t="shared" si="7"/>
        <v>23.482999999999997</v>
      </c>
      <c r="E270" s="738">
        <v>6950000</v>
      </c>
      <c r="F270" s="738">
        <v>8999000</v>
      </c>
      <c r="G270" s="739">
        <v>636000</v>
      </c>
      <c r="I270" s="64"/>
      <c r="J270" s="742"/>
    </row>
    <row r="271" spans="3:13" ht="15.75">
      <c r="C271" s="736">
        <v>33</v>
      </c>
      <c r="D271" s="737">
        <f t="shared" si="7"/>
        <v>33.692999999999998</v>
      </c>
      <c r="E271" s="738">
        <v>9000000</v>
      </c>
      <c r="F271" s="738">
        <v>17999000</v>
      </c>
      <c r="G271" s="739">
        <v>1536000</v>
      </c>
      <c r="I271" s="64"/>
      <c r="J271" s="742"/>
    </row>
    <row r="272" spans="3:13" ht="15.75">
      <c r="C272" s="736">
        <v>40</v>
      </c>
      <c r="D272" s="737">
        <f t="shared" si="7"/>
        <v>40.839999999999996</v>
      </c>
      <c r="E272" s="738">
        <v>18000000</v>
      </c>
      <c r="F272" s="738">
        <v>39999000</v>
      </c>
      <c r="G272" s="739">
        <v>2796000</v>
      </c>
      <c r="I272" s="64"/>
      <c r="J272" s="742"/>
    </row>
    <row r="273" spans="1:12" ht="15.75">
      <c r="C273" s="736">
        <v>45</v>
      </c>
      <c r="D273" s="737">
        <f>45*1.021</f>
        <v>45.944999999999993</v>
      </c>
      <c r="E273" s="738">
        <v>40000000</v>
      </c>
      <c r="F273" s="738"/>
      <c r="G273" s="739">
        <v>4796000</v>
      </c>
    </row>
    <row r="274" spans="1:12"/>
    <row r="275" spans="1:12">
      <c r="C275" s="39" t="s">
        <v>1318</v>
      </c>
      <c r="F275" s="41" t="s">
        <v>1319</v>
      </c>
    </row>
    <row r="276" spans="1:12">
      <c r="C276" s="743" t="s">
        <v>1320</v>
      </c>
      <c r="D276" s="744">
        <f>MAX(ROUNDUP((L261-2000)*E264/100,2),0)</f>
        <v>0</v>
      </c>
      <c r="F276" s="743" t="s">
        <v>1321</v>
      </c>
      <c r="G276" s="744">
        <f>MAX(IF(K261&lt;34,ROUNDUP(G278*(K261/100)/(0.9-K261/100),2),ROUNDUP(G278*(33.693/100)/(0.9-33.693/100),2)),0)</f>
        <v>0</v>
      </c>
    </row>
    <row r="277" spans="1:12">
      <c r="C277" s="743" t="s">
        <v>1322</v>
      </c>
      <c r="D277" s="744">
        <f>MAX(ROUNDUP((L261-2000)*0.1,2),0)</f>
        <v>0</v>
      </c>
      <c r="F277" s="743" t="s">
        <v>1322</v>
      </c>
      <c r="G277" s="744">
        <f>MAX(ROUNDUP((L261-2000)*0.1,2),0)</f>
        <v>0</v>
      </c>
    </row>
    <row r="278" spans="1:12">
      <c r="C278" s="743" t="s">
        <v>1323</v>
      </c>
      <c r="D278" s="744">
        <f>MAX(ROUNDUP((L261-2000)*(0.9-K261/100),2),0)</f>
        <v>0</v>
      </c>
      <c r="F278" s="743" t="s">
        <v>1323</v>
      </c>
      <c r="G278" s="744">
        <f>MAX(ROUNDUP((L261-2000)*(0.9-K261/100),2),0)</f>
        <v>0</v>
      </c>
    </row>
    <row r="279" spans="1:12">
      <c r="C279" s="743" t="s">
        <v>1324</v>
      </c>
      <c r="D279" s="744">
        <f>ROUNDUP(SUM(D276:D278),0)</f>
        <v>0</v>
      </c>
      <c r="F279" s="743" t="s">
        <v>1324</v>
      </c>
      <c r="G279" s="744">
        <f>ROUNDUP(SUM(G276:G278),0)</f>
        <v>0</v>
      </c>
    </row>
    <row r="280" spans="1:12"/>
    <row r="281" spans="1:12"/>
    <row r="282" spans="1:12" s="101" customFormat="1">
      <c r="A282" s="101">
        <v>13</v>
      </c>
      <c r="B282" s="101" t="s">
        <v>1327</v>
      </c>
      <c r="C282" s="97"/>
      <c r="D282" s="97"/>
      <c r="E282" s="99"/>
      <c r="F282" s="100"/>
      <c r="G282" s="99"/>
      <c r="H282" s="97"/>
      <c r="I282" s="97"/>
      <c r="J282" s="97"/>
      <c r="K282" s="97"/>
      <c r="L282" s="97"/>
    </row>
    <row r="283" spans="1:12"/>
    <row r="284" spans="1:12">
      <c r="C284" s="48" t="s">
        <v>1328</v>
      </c>
      <c r="D284" s="48" t="s">
        <v>1329</v>
      </c>
      <c r="E284" s="725" t="s">
        <v>1367</v>
      </c>
    </row>
    <row r="285" spans="1:12">
      <c r="C285" s="168">
        <f>IF(K264=0,0,E261*6/100)</f>
        <v>0</v>
      </c>
      <c r="D285" s="168">
        <f>IF(K264=0,0,E261*4/100)</f>
        <v>0</v>
      </c>
      <c r="E285" s="169">
        <f>C285+D285</f>
        <v>0</v>
      </c>
    </row>
    <row r="286" spans="1:12"/>
    <row r="287" spans="1:12">
      <c r="C287" s="48" t="s">
        <v>1330</v>
      </c>
      <c r="D287" s="48" t="s">
        <v>1331</v>
      </c>
      <c r="E287" s="725" t="s">
        <v>1368</v>
      </c>
    </row>
    <row r="288" spans="1:12">
      <c r="C288" s="168">
        <f>IF(C285=0,0,IF(AND(C261&lt;=25000000,E261&lt;=2000000),MIN(E261,I261)*3/100,IF(AND(C261&lt;=25000000,E261&gt;2000000),MAX(I261-(E261-2000000),50000)*3/100,0)))</f>
        <v>0</v>
      </c>
      <c r="D288" s="168">
        <f>IF(D285=0,0,IF(AND(C261&lt;=25000000,E261&lt;=2000000),MIN(E261,I261)*2/100,IF(AND(C261&lt;=25000000,E261&gt;2000000),MAX(I261-(E261-2000000),50000)*2/100,0)))</f>
        <v>0</v>
      </c>
      <c r="E288" s="169">
        <f>C288+D288</f>
        <v>0</v>
      </c>
    </row>
    <row r="289" spans="3:12"/>
    <row r="290" spans="3:12">
      <c r="C290" s="50" t="s">
        <v>1332</v>
      </c>
      <c r="D290" s="50" t="s">
        <v>1333</v>
      </c>
      <c r="E290" s="50" t="s">
        <v>1311</v>
      </c>
    </row>
    <row r="291" spans="3:12">
      <c r="C291" s="169">
        <f>C285-C288</f>
        <v>0</v>
      </c>
      <c r="D291" s="169">
        <f>D285-D288</f>
        <v>0</v>
      </c>
      <c r="E291" s="168">
        <f>SUM(C291:D291)</f>
        <v>0</v>
      </c>
    </row>
    <row r="292" spans="3:12"/>
    <row r="293" spans="3:12">
      <c r="D293" s="48" t="s">
        <v>1373</v>
      </c>
      <c r="E293" s="48" t="s">
        <v>1374</v>
      </c>
      <c r="F293" s="725" t="s">
        <v>1375</v>
      </c>
      <c r="H293" s="725" t="s">
        <v>1380</v>
      </c>
      <c r="I293" s="48" t="s">
        <v>1379</v>
      </c>
      <c r="J293" s="48" t="s">
        <v>1378</v>
      </c>
      <c r="K293" s="48" t="s">
        <v>1376</v>
      </c>
      <c r="L293" s="48" t="s">
        <v>1377</v>
      </c>
    </row>
    <row r="294" spans="3:12">
      <c r="C294" s="129" t="s">
        <v>1381</v>
      </c>
      <c r="D294" s="754">
        <f>MAX(MIN((C261*30/100-2000)*6/100,ROUNDUP((H294+I294+J294+K294+L294-2000)*6/10*1/10,2)),0)</f>
        <v>0</v>
      </c>
      <c r="E294" s="754">
        <f>MAX(MIN((C261*30/100-2000)*4/100,ROUNDUP((H294+I294+J294+K294+L294-2000)*4/10*1/10,2)),0)</f>
        <v>0</v>
      </c>
      <c r="F294" s="754">
        <f>MAX(MIN((C261*30/100-2000)*10/100,ROUNDUP((H294-2000)*1/10,2)),0)</f>
        <v>0</v>
      </c>
      <c r="H294" s="169">
        <f>医療費・寄附金!H18</f>
        <v>0</v>
      </c>
      <c r="I294" s="169">
        <f>医療費・寄附金!H19</f>
        <v>0</v>
      </c>
      <c r="J294" s="169">
        <f>医療費・寄附金!N18</f>
        <v>0</v>
      </c>
      <c r="K294" s="169">
        <f>医療費・寄附金!N19</f>
        <v>0</v>
      </c>
      <c r="L294" s="169">
        <f>医療費・寄附金!N20</f>
        <v>0</v>
      </c>
    </row>
    <row r="295" spans="3:12">
      <c r="C295" s="129" t="s">
        <v>1382</v>
      </c>
      <c r="D295" s="754">
        <f>MAX(MIN(ROUNDUP((H294-2000)*(0.9-K261/100)*6/10,2),C291*20/100),0)</f>
        <v>0</v>
      </c>
      <c r="E295" s="754">
        <f>MAX(MIN(ROUNDUP((H294-2000)*(0.9-K261/100)*4/10,2),D291*20/100),0)</f>
        <v>0</v>
      </c>
      <c r="F295" s="754">
        <f>MAX(MIN(ROUNDUP((H294-2000)*(0.9-K261/100),2),E291*20/100),0)</f>
        <v>0</v>
      </c>
    </row>
    <row r="296" spans="3:12">
      <c r="C296" s="129" t="s">
        <v>1383</v>
      </c>
      <c r="D296" s="754">
        <f>MAX(ROUNDUP(F295*(K261/100)/(0.9-K261/100)*6/10,2),0)</f>
        <v>0</v>
      </c>
      <c r="E296" s="754">
        <f>MAX(ROUNDUP(F295*(K261/100)/(0.9-K261/100)*4/10,2),0)</f>
        <v>0</v>
      </c>
      <c r="F296" s="754">
        <f>MAX(ROUNDUP(F295*(K261/100)/(0.9-K261/100),2),0)</f>
        <v>0</v>
      </c>
      <c r="H296" s="48" t="s">
        <v>1403</v>
      </c>
    </row>
    <row r="297" spans="3:12">
      <c r="C297" s="129" t="s">
        <v>1384</v>
      </c>
      <c r="D297" s="169">
        <f>IF(C291=0,0,ROUNDUP(SUM(D294:D296),0))</f>
        <v>0</v>
      </c>
      <c r="E297" s="169">
        <f>IF(C291=0,0,ROUNDUP(SUM(E294:E296),0))</f>
        <v>0</v>
      </c>
      <c r="F297" s="169">
        <f>SUM(D297:E297)</f>
        <v>0</v>
      </c>
      <c r="H297" s="169">
        <f>MAX(MIN((C261*40/100-2000)*F264/100,ROUNDUP((SUM(H294:L294)-2000)*F264/100,0)),0)</f>
        <v>0</v>
      </c>
    </row>
    <row r="298" spans="3:12">
      <c r="C298" s="48" t="s">
        <v>1385</v>
      </c>
      <c r="D298" s="169">
        <f>IF(C291=0,0,ROUNDUP(SUM(D294:D295),0))</f>
        <v>0</v>
      </c>
      <c r="E298" s="169">
        <f>IF(C291=0,0,ROUNDUP(SUM(E294:E295),0))</f>
        <v>0</v>
      </c>
      <c r="F298" s="169">
        <f>SUM(D298:E298)</f>
        <v>0</v>
      </c>
    </row>
    <row r="299" spans="3:12"/>
    <row r="300" spans="3:12">
      <c r="C300" s="48" t="s">
        <v>1388</v>
      </c>
      <c r="D300" s="48" t="s">
        <v>1387</v>
      </c>
      <c r="E300" s="725" t="s">
        <v>1386</v>
      </c>
    </row>
    <row r="301" spans="3:12">
      <c r="C301" s="48">
        <f>IF(C291=0,0,ROUNDUP(D158*1.6/100,0))</f>
        <v>0</v>
      </c>
      <c r="D301" s="48">
        <f>IF(C291=0,0,ROUNDUP(D158*1.2/100,0))</f>
        <v>0</v>
      </c>
      <c r="E301" s="725">
        <f>C301+D301</f>
        <v>0</v>
      </c>
    </row>
    <row r="302" spans="3:12">
      <c r="G302" s="40" t="s">
        <v>1427</v>
      </c>
    </row>
    <row r="303" spans="3:12">
      <c r="C303" s="50" t="s">
        <v>1422</v>
      </c>
      <c r="D303" s="50" t="s">
        <v>1423</v>
      </c>
      <c r="E303" s="50" t="s">
        <v>1424</v>
      </c>
      <c r="G303" s="50" t="s">
        <v>1422</v>
      </c>
      <c r="H303" s="50" t="s">
        <v>1423</v>
      </c>
      <c r="I303" s="50" t="s">
        <v>1424</v>
      </c>
      <c r="K303" s="48" t="s">
        <v>1461</v>
      </c>
    </row>
    <row r="304" spans="3:12">
      <c r="C304" s="169">
        <f>SUM(D304:E304)</f>
        <v>0</v>
      </c>
      <c r="D304" s="169">
        <f>C291-C301-D297</f>
        <v>0</v>
      </c>
      <c r="E304" s="169">
        <f>D291-D301-E297</f>
        <v>0</v>
      </c>
      <c r="F304" s="800"/>
      <c r="G304" s="169">
        <f>SUM(H304:I304)</f>
        <v>0</v>
      </c>
      <c r="H304" s="169">
        <f>C291-C301-D298</f>
        <v>0</v>
      </c>
      <c r="I304" s="169">
        <f>D291-D301-E298</f>
        <v>0</v>
      </c>
      <c r="K304" s="799" t="str">
        <f>IF(K261&gt;35,"所得金額からワンストップ特例を適用できません。ワンストップ特例の控除額は正しく計算されていません。","")</f>
        <v/>
      </c>
    </row>
    <row r="305" spans="3:9"/>
    <row r="306" spans="3:9">
      <c r="C306" s="50" t="s">
        <v>1362</v>
      </c>
      <c r="D306" s="50" t="s">
        <v>1363</v>
      </c>
      <c r="E306" s="50" t="s">
        <v>1364</v>
      </c>
      <c r="G306" s="50" t="s">
        <v>1355</v>
      </c>
      <c r="H306" s="50" t="s">
        <v>1363</v>
      </c>
      <c r="I306" s="50" t="s">
        <v>1364</v>
      </c>
    </row>
    <row r="307" spans="3:9">
      <c r="C307" s="87">
        <f>IF(C304=0,0,ROUNDUP(MAX(F230-(C261-C304),0),-1))</f>
        <v>0</v>
      </c>
      <c r="D307" s="169">
        <f>C307*6/10</f>
        <v>0</v>
      </c>
      <c r="E307" s="169">
        <f>C307*4/10</f>
        <v>0</v>
      </c>
      <c r="G307" s="87">
        <f>IF(G304=0,0,ROUNDUP(MAX(F230-(C261-G304),0),0))</f>
        <v>0</v>
      </c>
      <c r="H307" s="87">
        <f>ROUNDDOWN(G307*6/10,0)</f>
        <v>0</v>
      </c>
      <c r="I307" s="87">
        <f>G307-H307</f>
        <v>0</v>
      </c>
    </row>
    <row r="308" spans="3:9">
      <c r="G308" s="770"/>
      <c r="H308" s="771">
        <f>IF(H304=0,0,ROUNDUP(MAX(F230*6/10-(C261*6/10-H304),0),0))</f>
        <v>0</v>
      </c>
      <c r="I308" s="771">
        <f>IF(I304=0,0,ROUNDUP(MAX(F230*4/10-(C261*4/10-I304),0),0))</f>
        <v>0</v>
      </c>
    </row>
    <row r="309" spans="3:9">
      <c r="C309" s="48" t="s">
        <v>1340</v>
      </c>
      <c r="D309" s="48" t="s">
        <v>1372</v>
      </c>
      <c r="E309" s="730" t="s">
        <v>1339</v>
      </c>
    </row>
    <row r="310" spans="3:9">
      <c r="C310" s="169" t="str">
        <f>IF(J264=0,"非課税",3500)</f>
        <v>非課税</v>
      </c>
      <c r="D310" s="168" t="str">
        <f>IF(J264=0,"非課税",2200)</f>
        <v>非課税</v>
      </c>
      <c r="E310" s="169" t="str">
        <f>IF(C310="非課税","非課税",SUM(C310:D310))</f>
        <v>非課税</v>
      </c>
    </row>
    <row r="311" spans="3:9"/>
    <row r="312" spans="3:9">
      <c r="C312" s="50" t="s">
        <v>1365</v>
      </c>
      <c r="D312" s="50" t="s">
        <v>1366</v>
      </c>
      <c r="E312" s="48" t="s">
        <v>1369</v>
      </c>
      <c r="G312" s="50" t="s">
        <v>1365</v>
      </c>
      <c r="H312" s="50" t="s">
        <v>1366</v>
      </c>
      <c r="I312" s="48" t="s">
        <v>1369</v>
      </c>
    </row>
    <row r="313" spans="3:9">
      <c r="C313" s="87">
        <f>ROUNDDOWN(C291-D297-C301-D307,-2)</f>
        <v>0</v>
      </c>
      <c r="D313" s="87">
        <f>ROUNDDOWN(D291-E297-D301-E307,-2)</f>
        <v>0</v>
      </c>
      <c r="E313" s="87">
        <f>C313+D313</f>
        <v>0</v>
      </c>
      <c r="G313" s="755">
        <f>ROUNDDOWN(C291-D298-C301-H307,-2)</f>
        <v>0</v>
      </c>
      <c r="H313" s="755">
        <f>ROUNDDOWN(D291-E298-D301-I307,-2)</f>
        <v>0</v>
      </c>
      <c r="I313" s="87">
        <f>G313+H313</f>
        <v>0</v>
      </c>
    </row>
    <row r="314" spans="3:9"/>
    <row r="315" spans="3:9"/>
    <row r="316" spans="3:9">
      <c r="C316" s="50" t="s">
        <v>1370</v>
      </c>
      <c r="D316" s="50" t="s">
        <v>1371</v>
      </c>
      <c r="E316" s="50" t="s">
        <v>1341</v>
      </c>
      <c r="G316" s="50" t="s">
        <v>1370</v>
      </c>
      <c r="H316" s="50" t="s">
        <v>1371</v>
      </c>
      <c r="I316" s="50" t="s">
        <v>1341</v>
      </c>
    </row>
    <row r="317" spans="3:9">
      <c r="C317" s="169" t="str">
        <f>IF(C310="非課税","非課税",C310+C313)</f>
        <v>非課税</v>
      </c>
      <c r="D317" s="169" t="str">
        <f>IF(D310="非課税","非課税",D310+D313)</f>
        <v>非課税</v>
      </c>
      <c r="E317" s="87" t="str">
        <f>IF(C310="非課税","非課税",C310+D310+C313+D313)</f>
        <v>非課税</v>
      </c>
      <c r="G317" s="169" t="str">
        <f>IF(C310="非課税","非課税",C310+G313)</f>
        <v>非課税</v>
      </c>
      <c r="H317" s="169" t="str">
        <f>IF(D310="非課税","非課税",D310+H313)</f>
        <v>非課税</v>
      </c>
      <c r="I317" s="87" t="str">
        <f>IF(C310="非課税","非課税",C310+D310+G313+H313)</f>
        <v>非課税</v>
      </c>
    </row>
    <row r="318" spans="3:9"/>
    <row r="319" spans="3:9"/>
    <row r="320" spans="3:9"/>
  </sheetData>
  <sheetProtection algorithmName="SHA-512" hashValue="Vwtq5z6E3T6AoXJgVqJhRluRRVbvzrOY6aQ1ku63+3s9HN+PgaHN3tUt0KPWiVNHNul7zwnLyw+jDZkC11vK4g==" saltValue="6hLZ3N8K/W9gKZyOjnKGmg==" spinCount="100000" sheet="1" objects="1" scenarios="1"/>
  <mergeCells count="7">
    <mergeCell ref="C247:C252"/>
    <mergeCell ref="C253:C256"/>
    <mergeCell ref="F25:G25"/>
    <mergeCell ref="K57:M57"/>
    <mergeCell ref="C235:C237"/>
    <mergeCell ref="C238:C239"/>
    <mergeCell ref="C241:C246"/>
  </mergeCells>
  <phoneticPr fontId="37"/>
  <printOptions headings="1" gridLines="1"/>
  <pageMargins left="0.70866141732283472" right="0.70866141732283472" top="0.74803149606299213" bottom="0.74803149606299213" header="0.31496062992125984" footer="0.31496062992125984"/>
  <pageSetup paperSize="9" scale="4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8"/>
  <sheetViews>
    <sheetView topLeftCell="A94" zoomScale="85" zoomScaleNormal="85" workbookViewId="0">
      <selection activeCell="D150" sqref="D150"/>
    </sheetView>
  </sheetViews>
  <sheetFormatPr defaultColWidth="0" defaultRowHeight="15.75"/>
  <cols>
    <col min="1" max="1" width="5.75" style="657" customWidth="1"/>
    <col min="2" max="2" width="9.625" style="705" customWidth="1"/>
    <col min="3" max="3" width="9.625" style="664" customWidth="1"/>
    <col min="4" max="4" width="17" style="658" customWidth="1"/>
    <col min="5" max="5" width="144.125" style="658" customWidth="1"/>
    <col min="6" max="16384" width="11.25" style="657" hidden="1"/>
  </cols>
  <sheetData>
    <row r="1" spans="1:5" s="655" customFormat="1">
      <c r="A1" s="655">
        <v>0</v>
      </c>
      <c r="B1" s="704" t="s">
        <v>588</v>
      </c>
      <c r="C1" s="666"/>
      <c r="D1" s="656"/>
      <c r="E1" s="656"/>
    </row>
    <row r="2" spans="1:5">
      <c r="E2" s="658" t="s">
        <v>1108</v>
      </c>
    </row>
    <row r="3" spans="1:5">
      <c r="E3" s="658" t="s">
        <v>589</v>
      </c>
    </row>
    <row r="4" spans="1:5">
      <c r="E4" s="659" t="s">
        <v>590</v>
      </c>
    </row>
    <row r="5" spans="1:5">
      <c r="E5" s="658" t="s">
        <v>604</v>
      </c>
    </row>
    <row r="6" spans="1:5">
      <c r="E6" s="658" t="s">
        <v>1006</v>
      </c>
    </row>
    <row r="7" spans="1:5">
      <c r="E7" s="658" t="s">
        <v>1100</v>
      </c>
    </row>
    <row r="8" spans="1:5">
      <c r="E8" s="658" t="s">
        <v>1101</v>
      </c>
    </row>
    <row r="9" spans="1:5">
      <c r="E9" s="658" t="s">
        <v>1102</v>
      </c>
    </row>
    <row r="11" spans="1:5" s="660" customFormat="1">
      <c r="A11" s="660">
        <v>1</v>
      </c>
      <c r="B11" s="706" t="s">
        <v>587</v>
      </c>
      <c r="C11" s="667"/>
      <c r="D11" s="661"/>
      <c r="E11" s="661"/>
    </row>
    <row r="12" spans="1:5">
      <c r="B12" s="702" t="s">
        <v>1185</v>
      </c>
      <c r="C12" s="664" t="s">
        <v>1164</v>
      </c>
      <c r="D12" s="672" t="s">
        <v>591</v>
      </c>
      <c r="E12" s="658" t="s">
        <v>1104</v>
      </c>
    </row>
    <row r="13" spans="1:5">
      <c r="B13" s="702" t="s">
        <v>1185</v>
      </c>
      <c r="C13" s="664" t="s">
        <v>1165</v>
      </c>
      <c r="D13" s="672" t="s">
        <v>1103</v>
      </c>
      <c r="E13" s="658" t="s">
        <v>754</v>
      </c>
    </row>
    <row r="14" spans="1:5">
      <c r="B14" s="702" t="s">
        <v>1185</v>
      </c>
      <c r="C14" s="664" t="s">
        <v>1166</v>
      </c>
      <c r="D14" s="672" t="s">
        <v>592</v>
      </c>
      <c r="E14" s="658" t="s">
        <v>1105</v>
      </c>
    </row>
    <row r="15" spans="1:5" ht="63">
      <c r="B15" s="702" t="s">
        <v>1046</v>
      </c>
      <c r="C15" s="664" t="s">
        <v>1167</v>
      </c>
      <c r="D15" s="672" t="s">
        <v>175</v>
      </c>
      <c r="E15" s="658" t="s">
        <v>1106</v>
      </c>
    </row>
    <row r="16" spans="1:5">
      <c r="B16" s="702" t="s">
        <v>1185</v>
      </c>
      <c r="C16" s="664" t="s">
        <v>1167</v>
      </c>
      <c r="D16" s="672" t="s">
        <v>593</v>
      </c>
      <c r="E16" s="658" t="s">
        <v>600</v>
      </c>
    </row>
    <row r="17" spans="1:5">
      <c r="B17" s="702" t="s">
        <v>1186</v>
      </c>
      <c r="C17" s="664" t="s">
        <v>1167</v>
      </c>
      <c r="D17" s="672" t="s">
        <v>594</v>
      </c>
      <c r="E17" s="658" t="s">
        <v>601</v>
      </c>
    </row>
    <row r="18" spans="1:5">
      <c r="B18" s="702" t="s">
        <v>1179</v>
      </c>
      <c r="C18" s="664" t="s">
        <v>1167</v>
      </c>
      <c r="D18" s="672" t="s">
        <v>595</v>
      </c>
      <c r="E18" s="658" t="s">
        <v>602</v>
      </c>
    </row>
    <row r="19" spans="1:5">
      <c r="B19" s="702" t="s">
        <v>1187</v>
      </c>
      <c r="C19" s="664" t="s">
        <v>1167</v>
      </c>
      <c r="D19" s="672" t="s">
        <v>596</v>
      </c>
      <c r="E19" s="658" t="s">
        <v>603</v>
      </c>
    </row>
    <row r="20" spans="1:5" ht="31.5">
      <c r="B20" s="702" t="s">
        <v>1188</v>
      </c>
      <c r="C20" s="664" t="s">
        <v>1167</v>
      </c>
      <c r="D20" s="672" t="s">
        <v>610</v>
      </c>
      <c r="E20" s="658" t="s">
        <v>1107</v>
      </c>
    </row>
    <row r="21" spans="1:5">
      <c r="B21" s="702" t="s">
        <v>1185</v>
      </c>
      <c r="C21" s="664" t="s">
        <v>1168</v>
      </c>
      <c r="D21" s="672" t="s">
        <v>597</v>
      </c>
      <c r="E21" s="658" t="s">
        <v>599</v>
      </c>
    </row>
    <row r="22" spans="1:5">
      <c r="B22" s="702" t="s">
        <v>1185</v>
      </c>
      <c r="C22" s="664" t="s">
        <v>1169</v>
      </c>
      <c r="D22" s="672" t="s">
        <v>598</v>
      </c>
      <c r="E22" s="658" t="s">
        <v>599</v>
      </c>
    </row>
    <row r="23" spans="1:5">
      <c r="B23" s="709"/>
    </row>
    <row r="24" spans="1:5" s="660" customFormat="1">
      <c r="A24" s="660">
        <v>2</v>
      </c>
      <c r="B24" s="707" t="s">
        <v>605</v>
      </c>
      <c r="C24" s="668"/>
      <c r="D24" s="661"/>
      <c r="E24" s="661"/>
    </row>
    <row r="25" spans="1:5">
      <c r="B25" s="702" t="s">
        <v>1184</v>
      </c>
      <c r="C25" s="664" t="s">
        <v>1170</v>
      </c>
      <c r="D25" s="662" t="s">
        <v>1190</v>
      </c>
      <c r="E25" s="662" t="s">
        <v>754</v>
      </c>
    </row>
    <row r="26" spans="1:5">
      <c r="B26" s="702" t="s">
        <v>1184</v>
      </c>
      <c r="C26" s="664" t="s">
        <v>1171</v>
      </c>
      <c r="D26" s="662" t="s">
        <v>1191</v>
      </c>
      <c r="E26" s="662" t="s">
        <v>754</v>
      </c>
    </row>
    <row r="27" spans="1:5">
      <c r="B27" s="702" t="s">
        <v>1183</v>
      </c>
      <c r="C27" s="664" t="s">
        <v>1165</v>
      </c>
      <c r="D27" s="662" t="s">
        <v>1192</v>
      </c>
      <c r="E27" s="662" t="s">
        <v>756</v>
      </c>
    </row>
    <row r="28" spans="1:5">
      <c r="B28" s="702" t="s">
        <v>1183</v>
      </c>
      <c r="C28" s="664" t="s">
        <v>1166</v>
      </c>
      <c r="D28" s="662" t="s">
        <v>191</v>
      </c>
      <c r="E28" s="662" t="s">
        <v>599</v>
      </c>
    </row>
    <row r="29" spans="1:5">
      <c r="B29" s="702" t="s">
        <v>1183</v>
      </c>
      <c r="C29" s="664" t="s">
        <v>1172</v>
      </c>
      <c r="D29" s="662" t="s">
        <v>1189</v>
      </c>
      <c r="E29" s="662" t="s">
        <v>599</v>
      </c>
    </row>
    <row r="30" spans="1:5">
      <c r="B30" s="702" t="s">
        <v>1179</v>
      </c>
      <c r="C30" s="664" t="s">
        <v>1173</v>
      </c>
      <c r="D30" s="662" t="s">
        <v>607</v>
      </c>
      <c r="E30" s="662" t="s">
        <v>606</v>
      </c>
    </row>
    <row r="31" spans="1:5">
      <c r="B31" s="702" t="s">
        <v>1179</v>
      </c>
      <c r="C31" s="664" t="s">
        <v>1174</v>
      </c>
      <c r="D31" s="662" t="s">
        <v>607</v>
      </c>
      <c r="E31" s="662" t="s">
        <v>606</v>
      </c>
    </row>
    <row r="32" spans="1:5">
      <c r="B32" s="702" t="s">
        <v>1179</v>
      </c>
      <c r="C32" s="664" t="s">
        <v>1168</v>
      </c>
      <c r="D32" s="662" t="s">
        <v>607</v>
      </c>
      <c r="E32" s="662" t="s">
        <v>606</v>
      </c>
    </row>
    <row r="33" spans="1:5">
      <c r="B33" s="702" t="s">
        <v>1179</v>
      </c>
      <c r="C33" s="664" t="s">
        <v>1175</v>
      </c>
      <c r="D33" s="662" t="s">
        <v>607</v>
      </c>
      <c r="E33" s="662" t="s">
        <v>606</v>
      </c>
    </row>
    <row r="34" spans="1:5">
      <c r="B34" s="702" t="s">
        <v>1182</v>
      </c>
      <c r="C34" s="664" t="s">
        <v>1173</v>
      </c>
      <c r="D34" s="662" t="s">
        <v>607</v>
      </c>
      <c r="E34" s="662" t="s">
        <v>606</v>
      </c>
    </row>
    <row r="35" spans="1:5">
      <c r="B35" s="702" t="s">
        <v>1182</v>
      </c>
      <c r="C35" s="664" t="s">
        <v>1174</v>
      </c>
      <c r="D35" s="662" t="s">
        <v>607</v>
      </c>
      <c r="E35" s="662" t="s">
        <v>606</v>
      </c>
    </row>
    <row r="36" spans="1:5">
      <c r="B36" s="702" t="s">
        <v>1182</v>
      </c>
      <c r="C36" s="664" t="s">
        <v>1168</v>
      </c>
      <c r="D36" s="662" t="s">
        <v>607</v>
      </c>
      <c r="E36" s="662" t="s">
        <v>606</v>
      </c>
    </row>
    <row r="37" spans="1:5">
      <c r="B37" s="702" t="s">
        <v>1182</v>
      </c>
      <c r="C37" s="664" t="s">
        <v>1175</v>
      </c>
      <c r="D37" s="662" t="s">
        <v>607</v>
      </c>
      <c r="E37" s="662" t="s">
        <v>606</v>
      </c>
    </row>
    <row r="38" spans="1:5">
      <c r="B38" s="702" t="s">
        <v>1181</v>
      </c>
      <c r="C38" s="664" t="s">
        <v>1176</v>
      </c>
      <c r="D38" s="662" t="s">
        <v>608</v>
      </c>
      <c r="E38" s="662" t="s">
        <v>599</v>
      </c>
    </row>
    <row r="39" spans="1:5">
      <c r="B39" s="702" t="s">
        <v>1179</v>
      </c>
      <c r="C39" s="664" t="s">
        <v>1177</v>
      </c>
      <c r="D39" s="662" t="s">
        <v>609</v>
      </c>
      <c r="E39" s="662" t="s">
        <v>599</v>
      </c>
    </row>
    <row r="40" spans="1:5">
      <c r="B40" s="702" t="s">
        <v>1180</v>
      </c>
      <c r="C40" s="664" t="s">
        <v>1177</v>
      </c>
      <c r="D40" s="662" t="s">
        <v>515</v>
      </c>
      <c r="E40" s="662" t="s">
        <v>599</v>
      </c>
    </row>
    <row r="41" spans="1:5">
      <c r="B41" s="702" t="s">
        <v>1179</v>
      </c>
      <c r="C41" s="664" t="s">
        <v>1178</v>
      </c>
      <c r="D41" s="662" t="s">
        <v>608</v>
      </c>
      <c r="E41" s="662" t="s">
        <v>599</v>
      </c>
    </row>
    <row r="42" spans="1:5">
      <c r="D42" s="662"/>
      <c r="E42" s="662"/>
    </row>
    <row r="43" spans="1:5">
      <c r="E43" s="663" t="s">
        <v>1109</v>
      </c>
    </row>
    <row r="45" spans="1:5" s="660" customFormat="1">
      <c r="A45" s="660">
        <v>3</v>
      </c>
      <c r="B45" s="706" t="s">
        <v>612</v>
      </c>
      <c r="C45" s="667"/>
      <c r="D45" s="661"/>
      <c r="E45" s="661"/>
    </row>
    <row r="46" spans="1:5" ht="30">
      <c r="B46" s="705" t="s">
        <v>618</v>
      </c>
      <c r="D46" s="662" t="s">
        <v>614</v>
      </c>
      <c r="E46" s="662" t="s">
        <v>619</v>
      </c>
    </row>
    <row r="47" spans="1:5">
      <c r="D47" s="662"/>
      <c r="E47" s="662"/>
    </row>
    <row r="48" spans="1:5">
      <c r="D48" s="662"/>
      <c r="E48" s="662"/>
    </row>
    <row r="49" spans="1:5">
      <c r="D49" s="662"/>
      <c r="E49" s="662"/>
    </row>
    <row r="50" spans="1:5">
      <c r="B50" s="705" t="s">
        <v>620</v>
      </c>
      <c r="D50" s="662" t="s">
        <v>758</v>
      </c>
      <c r="E50" s="662" t="s">
        <v>613</v>
      </c>
    </row>
    <row r="51" spans="1:5">
      <c r="D51" s="662"/>
      <c r="E51" s="662"/>
    </row>
    <row r="52" spans="1:5">
      <c r="D52" s="662"/>
      <c r="E52" s="662"/>
    </row>
    <row r="53" spans="1:5">
      <c r="B53" s="705" t="s">
        <v>621</v>
      </c>
      <c r="D53" s="662" t="s">
        <v>615</v>
      </c>
      <c r="E53" s="662" t="s">
        <v>616</v>
      </c>
    </row>
    <row r="54" spans="1:5">
      <c r="D54" s="662"/>
      <c r="E54" s="662"/>
    </row>
    <row r="55" spans="1:5">
      <c r="D55" s="662"/>
      <c r="E55" s="662"/>
    </row>
    <row r="56" spans="1:5">
      <c r="D56" s="662"/>
      <c r="E56" s="662"/>
    </row>
    <row r="57" spans="1:5">
      <c r="D57" s="662"/>
      <c r="E57" s="662"/>
    </row>
    <row r="58" spans="1:5">
      <c r="B58" s="705" t="s">
        <v>622</v>
      </c>
      <c r="D58" s="658" t="s">
        <v>623</v>
      </c>
      <c r="E58" s="658" t="s">
        <v>624</v>
      </c>
    </row>
    <row r="59" spans="1:5" ht="31.5">
      <c r="B59" s="705" t="s">
        <v>625</v>
      </c>
      <c r="D59" s="658" t="s">
        <v>623</v>
      </c>
      <c r="E59" s="658" t="s">
        <v>626</v>
      </c>
    </row>
    <row r="60" spans="1:5">
      <c r="B60" s="705" t="s">
        <v>961</v>
      </c>
      <c r="D60" s="662" t="s">
        <v>627</v>
      </c>
      <c r="E60" s="662" t="s">
        <v>616</v>
      </c>
    </row>
    <row r="61" spans="1:5" ht="60">
      <c r="B61" s="705" t="s">
        <v>962</v>
      </c>
      <c r="D61" s="662" t="s">
        <v>628</v>
      </c>
      <c r="E61" s="724" t="s">
        <v>1252</v>
      </c>
    </row>
    <row r="62" spans="1:5">
      <c r="D62" s="662"/>
      <c r="E62" s="662"/>
    </row>
    <row r="63" spans="1:5">
      <c r="E63" s="658" t="s">
        <v>757</v>
      </c>
    </row>
    <row r="64" spans="1:5" s="660" customFormat="1">
      <c r="A64" s="660">
        <v>4</v>
      </c>
      <c r="B64" s="706" t="s">
        <v>629</v>
      </c>
      <c r="C64" s="667"/>
      <c r="D64" s="661"/>
      <c r="E64" s="661"/>
    </row>
    <row r="65" spans="1:5" ht="31.5">
      <c r="B65" s="705" t="s">
        <v>635</v>
      </c>
      <c r="D65" s="658" t="s">
        <v>630</v>
      </c>
      <c r="E65" s="662" t="s">
        <v>616</v>
      </c>
    </row>
    <row r="66" spans="1:5" ht="31.5">
      <c r="B66" s="705" t="s">
        <v>635</v>
      </c>
      <c r="D66" s="658" t="s">
        <v>632</v>
      </c>
      <c r="E66" s="662" t="s">
        <v>599</v>
      </c>
    </row>
    <row r="67" spans="1:5" ht="30">
      <c r="B67" s="705" t="s">
        <v>1237</v>
      </c>
      <c r="D67" s="658" t="s">
        <v>631</v>
      </c>
      <c r="E67" s="662" t="s">
        <v>633</v>
      </c>
    </row>
    <row r="68" spans="1:5">
      <c r="B68" s="705" t="s">
        <v>1238</v>
      </c>
      <c r="D68" s="658" t="s">
        <v>610</v>
      </c>
      <c r="E68" s="658" t="s">
        <v>634</v>
      </c>
    </row>
    <row r="69" spans="1:5" s="843" customFormat="1">
      <c r="B69" s="844" t="s">
        <v>1511</v>
      </c>
      <c r="C69" s="845"/>
      <c r="D69" s="846" t="s">
        <v>1512</v>
      </c>
      <c r="E69" s="846" t="s">
        <v>1513</v>
      </c>
    </row>
    <row r="71" spans="1:5" s="660" customFormat="1">
      <c r="A71" s="660">
        <v>5</v>
      </c>
      <c r="B71" s="706" t="s">
        <v>636</v>
      </c>
      <c r="C71" s="667"/>
      <c r="D71" s="661"/>
      <c r="E71" s="661"/>
    </row>
    <row r="72" spans="1:5">
      <c r="B72" s="705" t="s">
        <v>635</v>
      </c>
      <c r="D72" s="658" t="s">
        <v>637</v>
      </c>
      <c r="E72" s="662" t="s">
        <v>616</v>
      </c>
    </row>
    <row r="73" spans="1:5">
      <c r="B73" s="705" t="s">
        <v>635</v>
      </c>
      <c r="D73" s="658" t="s">
        <v>638</v>
      </c>
      <c r="E73" s="662" t="s">
        <v>599</v>
      </c>
    </row>
    <row r="74" spans="1:5" ht="30">
      <c r="B74" s="705" t="s">
        <v>1235</v>
      </c>
      <c r="D74" s="658" t="s">
        <v>631</v>
      </c>
      <c r="E74" s="662" t="s">
        <v>633</v>
      </c>
    </row>
    <row r="75" spans="1:5">
      <c r="B75" s="705" t="s">
        <v>1236</v>
      </c>
      <c r="D75" s="658" t="s">
        <v>610</v>
      </c>
      <c r="E75" s="658" t="s">
        <v>634</v>
      </c>
    </row>
    <row r="77" spans="1:5" s="660" customFormat="1">
      <c r="A77" s="660">
        <v>6</v>
      </c>
      <c r="B77" s="703" t="s">
        <v>639</v>
      </c>
      <c r="C77" s="669"/>
      <c r="D77" s="661"/>
      <c r="E77" s="661"/>
    </row>
    <row r="78" spans="1:5">
      <c r="B78" s="705" t="s">
        <v>759</v>
      </c>
      <c r="D78" s="673" t="s">
        <v>640</v>
      </c>
      <c r="E78" s="662" t="s">
        <v>617</v>
      </c>
    </row>
    <row r="79" spans="1:5">
      <c r="B79" s="705" t="s">
        <v>761</v>
      </c>
      <c r="D79" s="673" t="s">
        <v>762</v>
      </c>
      <c r="E79" s="662" t="s">
        <v>760</v>
      </c>
    </row>
    <row r="80" spans="1:5">
      <c r="B80" s="705" t="s">
        <v>759</v>
      </c>
      <c r="D80" s="673" t="s">
        <v>641</v>
      </c>
      <c r="E80" s="663" t="s">
        <v>642</v>
      </c>
    </row>
    <row r="82" spans="1:5" s="660" customFormat="1">
      <c r="A82" s="660">
        <v>7</v>
      </c>
      <c r="B82" s="706" t="s">
        <v>643</v>
      </c>
      <c r="C82" s="667"/>
      <c r="D82" s="661"/>
      <c r="E82" s="661"/>
    </row>
    <row r="83" spans="1:5" ht="31.5">
      <c r="B83" s="705" t="s">
        <v>646</v>
      </c>
      <c r="E83" s="658" t="s">
        <v>964</v>
      </c>
    </row>
    <row r="84" spans="1:5">
      <c r="D84" s="658" t="s">
        <v>481</v>
      </c>
    </row>
    <row r="85" spans="1:5">
      <c r="B85" s="705" t="s">
        <v>644</v>
      </c>
      <c r="D85" s="658" t="s">
        <v>645</v>
      </c>
      <c r="E85" s="663" t="s">
        <v>765</v>
      </c>
    </row>
    <row r="86" spans="1:5" ht="47.25">
      <c r="B86" s="705" t="s">
        <v>965</v>
      </c>
      <c r="D86" s="673" t="s">
        <v>250</v>
      </c>
      <c r="E86" s="658" t="s">
        <v>703</v>
      </c>
    </row>
    <row r="87" spans="1:5">
      <c r="B87" s="705" t="s">
        <v>966</v>
      </c>
      <c r="D87" s="673" t="s">
        <v>763</v>
      </c>
      <c r="E87" s="662" t="s">
        <v>648</v>
      </c>
    </row>
    <row r="88" spans="1:5" ht="31.5">
      <c r="B88" s="705" t="s">
        <v>967</v>
      </c>
      <c r="D88" s="673" t="s">
        <v>578</v>
      </c>
      <c r="E88" s="662" t="s">
        <v>617</v>
      </c>
    </row>
    <row r="89" spans="1:5">
      <c r="B89" s="708"/>
      <c r="C89" s="670"/>
    </row>
    <row r="90" spans="1:5">
      <c r="D90" s="658" t="s">
        <v>647</v>
      </c>
    </row>
    <row r="91" spans="1:5">
      <c r="B91" s="705" t="s">
        <v>968</v>
      </c>
      <c r="D91" s="658" t="s">
        <v>645</v>
      </c>
      <c r="E91" s="663" t="s">
        <v>642</v>
      </c>
    </row>
    <row r="92" spans="1:5" ht="47.25">
      <c r="B92" s="705" t="s">
        <v>764</v>
      </c>
      <c r="D92" s="673" t="s">
        <v>250</v>
      </c>
      <c r="E92" s="658" t="s">
        <v>705</v>
      </c>
    </row>
    <row r="93" spans="1:5">
      <c r="B93" s="705" t="s">
        <v>969</v>
      </c>
      <c r="E93" s="662" t="s">
        <v>648</v>
      </c>
    </row>
    <row r="94" spans="1:5">
      <c r="B94" s="705" t="s">
        <v>1500</v>
      </c>
      <c r="D94" s="658" t="s">
        <v>972</v>
      </c>
      <c r="E94" s="662" t="s">
        <v>1499</v>
      </c>
    </row>
    <row r="95" spans="1:5">
      <c r="B95" s="705" t="s">
        <v>1504</v>
      </c>
      <c r="D95" s="658" t="s">
        <v>1505</v>
      </c>
      <c r="E95" s="842" t="s">
        <v>1508</v>
      </c>
    </row>
    <row r="97" spans="1:5">
      <c r="D97" s="658" t="s">
        <v>649</v>
      </c>
    </row>
    <row r="98" spans="1:5">
      <c r="B98" s="705" t="s">
        <v>1502</v>
      </c>
      <c r="D98" s="658" t="s">
        <v>645</v>
      </c>
      <c r="E98" s="663" t="s">
        <v>765</v>
      </c>
    </row>
    <row r="99" spans="1:5" ht="31.5">
      <c r="B99" s="705" t="s">
        <v>970</v>
      </c>
      <c r="D99" s="673" t="s">
        <v>250</v>
      </c>
      <c r="E99" s="658" t="s">
        <v>704</v>
      </c>
    </row>
    <row r="100" spans="1:5">
      <c r="B100" s="705" t="s">
        <v>971</v>
      </c>
      <c r="E100" s="662" t="s">
        <v>648</v>
      </c>
    </row>
    <row r="101" spans="1:5">
      <c r="B101" s="1701" t="s">
        <v>1503</v>
      </c>
      <c r="C101" s="1702"/>
      <c r="D101" s="658" t="s">
        <v>972</v>
      </c>
      <c r="E101" s="662" t="s">
        <v>1501</v>
      </c>
    </row>
    <row r="102" spans="1:5">
      <c r="B102" s="705" t="s">
        <v>1506</v>
      </c>
      <c r="D102" s="658" t="s">
        <v>1505</v>
      </c>
      <c r="E102" s="842" t="s">
        <v>1507</v>
      </c>
    </row>
    <row r="103" spans="1:5" s="660" customFormat="1">
      <c r="A103" s="660">
        <v>8</v>
      </c>
      <c r="B103" s="703" t="s">
        <v>650</v>
      </c>
      <c r="C103" s="671"/>
      <c r="D103" s="661"/>
      <c r="E103" s="661"/>
    </row>
    <row r="104" spans="1:5">
      <c r="B104" s="705" t="s">
        <v>1231</v>
      </c>
      <c r="D104" s="658" t="s">
        <v>767</v>
      </c>
      <c r="E104" s="662" t="s">
        <v>765</v>
      </c>
    </row>
    <row r="105" spans="1:5">
      <c r="B105" s="705" t="s">
        <v>1233</v>
      </c>
      <c r="D105" s="658" t="s">
        <v>766</v>
      </c>
      <c r="E105" s="662" t="s">
        <v>973</v>
      </c>
    </row>
    <row r="106" spans="1:5">
      <c r="B106" s="705" t="s">
        <v>1232</v>
      </c>
      <c r="D106" s="658" t="s">
        <v>768</v>
      </c>
      <c r="E106" s="662" t="s">
        <v>651</v>
      </c>
    </row>
    <row r="107" spans="1:5">
      <c r="B107" s="705" t="s">
        <v>1234</v>
      </c>
      <c r="D107" s="658" t="s">
        <v>769</v>
      </c>
      <c r="E107" s="662" t="s">
        <v>770</v>
      </c>
    </row>
    <row r="109" spans="1:5">
      <c r="E109" s="658" t="s">
        <v>771</v>
      </c>
    </row>
    <row r="110" spans="1:5" s="660" customFormat="1">
      <c r="A110" s="660">
        <v>9</v>
      </c>
      <c r="B110" s="703" t="s">
        <v>652</v>
      </c>
      <c r="C110" s="671"/>
      <c r="D110" s="661"/>
      <c r="E110" s="661"/>
    </row>
    <row r="111" spans="1:5">
      <c r="B111" s="705" t="s">
        <v>1242</v>
      </c>
      <c r="D111" s="658" t="s">
        <v>772</v>
      </c>
      <c r="E111" s="662" t="s">
        <v>776</v>
      </c>
    </row>
    <row r="112" spans="1:5">
      <c r="B112" s="705" t="s">
        <v>654</v>
      </c>
      <c r="D112" s="658" t="s">
        <v>773</v>
      </c>
      <c r="E112" s="662" t="s">
        <v>777</v>
      </c>
    </row>
    <row r="113" spans="1:5">
      <c r="B113" s="705" t="s">
        <v>1241</v>
      </c>
      <c r="D113" s="658" t="s">
        <v>774</v>
      </c>
      <c r="E113" s="662" t="s">
        <v>653</v>
      </c>
    </row>
    <row r="114" spans="1:5">
      <c r="B114" s="705" t="s">
        <v>974</v>
      </c>
      <c r="D114" s="658" t="s">
        <v>775</v>
      </c>
      <c r="E114" s="662" t="s">
        <v>599</v>
      </c>
    </row>
    <row r="116" spans="1:5" s="660" customFormat="1">
      <c r="A116" s="660">
        <v>10</v>
      </c>
      <c r="B116" s="706" t="s">
        <v>655</v>
      </c>
      <c r="C116" s="667"/>
      <c r="D116" s="661"/>
      <c r="E116" s="661"/>
    </row>
    <row r="117" spans="1:5" ht="31.5">
      <c r="D117" s="673" t="s">
        <v>656</v>
      </c>
      <c r="E117" s="662" t="s">
        <v>617</v>
      </c>
    </row>
    <row r="118" spans="1:5">
      <c r="B118" s="705" t="s">
        <v>975</v>
      </c>
      <c r="D118" s="658" t="s">
        <v>610</v>
      </c>
      <c r="E118" s="658" t="s">
        <v>657</v>
      </c>
    </row>
    <row r="119" spans="1:5">
      <c r="B119" s="705" t="s">
        <v>658</v>
      </c>
      <c r="E119" s="729" t="s">
        <v>1255</v>
      </c>
    </row>
    <row r="121" spans="1:5">
      <c r="B121" s="705" t="s">
        <v>976</v>
      </c>
      <c r="D121" s="673" t="s">
        <v>659</v>
      </c>
      <c r="E121" s="662" t="s">
        <v>617</v>
      </c>
    </row>
    <row r="123" spans="1:5" s="660" customFormat="1">
      <c r="A123" s="660">
        <v>12</v>
      </c>
      <c r="B123" s="706" t="s">
        <v>660</v>
      </c>
      <c r="C123" s="667"/>
      <c r="D123" s="661"/>
      <c r="E123" s="661"/>
    </row>
    <row r="124" spans="1:5">
      <c r="D124" s="658" t="s">
        <v>661</v>
      </c>
      <c r="E124" s="658" t="s">
        <v>662</v>
      </c>
    </row>
    <row r="126" spans="1:5">
      <c r="B126" s="705" t="s">
        <v>675</v>
      </c>
      <c r="D126" s="658" t="s">
        <v>665</v>
      </c>
      <c r="E126" s="658" t="s">
        <v>666</v>
      </c>
    </row>
    <row r="127" spans="1:5">
      <c r="D127" s="658" t="s">
        <v>208</v>
      </c>
      <c r="E127" s="658" t="s">
        <v>667</v>
      </c>
    </row>
    <row r="128" spans="1:5">
      <c r="D128" s="658" t="s">
        <v>211</v>
      </c>
      <c r="E128" s="658" t="s">
        <v>667</v>
      </c>
    </row>
    <row r="129" spans="2:5" ht="31.5">
      <c r="D129" s="658" t="s">
        <v>668</v>
      </c>
      <c r="E129" s="658" t="s">
        <v>669</v>
      </c>
    </row>
    <row r="130" spans="2:5">
      <c r="D130" s="658" t="s">
        <v>218</v>
      </c>
      <c r="E130" s="658" t="s">
        <v>667</v>
      </c>
    </row>
    <row r="131" spans="2:5">
      <c r="D131" s="658" t="s">
        <v>670</v>
      </c>
      <c r="E131" s="658" t="s">
        <v>977</v>
      </c>
    </row>
    <row r="132" spans="2:5">
      <c r="D132" s="658" t="s">
        <v>214</v>
      </c>
      <c r="E132" s="658" t="s">
        <v>978</v>
      </c>
    </row>
    <row r="133" spans="2:5">
      <c r="D133" s="658" t="s">
        <v>671</v>
      </c>
      <c r="E133" s="658" t="s">
        <v>978</v>
      </c>
    </row>
    <row r="134" spans="2:5">
      <c r="D134" s="658" t="s">
        <v>672</v>
      </c>
      <c r="E134" s="658" t="s">
        <v>673</v>
      </c>
    </row>
    <row r="135" spans="2:5">
      <c r="D135" s="658" t="s">
        <v>400</v>
      </c>
      <c r="E135" s="658" t="s">
        <v>674</v>
      </c>
    </row>
    <row r="136" spans="2:5">
      <c r="B136" s="705" t="s">
        <v>289</v>
      </c>
      <c r="D136" s="658" t="s">
        <v>676</v>
      </c>
      <c r="E136" s="658" t="s">
        <v>677</v>
      </c>
    </row>
    <row r="137" spans="2:5">
      <c r="D137" s="658" t="s">
        <v>584</v>
      </c>
      <c r="E137" s="658" t="s">
        <v>678</v>
      </c>
    </row>
    <row r="138" spans="2:5">
      <c r="D138" s="658" t="s">
        <v>266</v>
      </c>
      <c r="E138" s="658" t="s">
        <v>667</v>
      </c>
    </row>
    <row r="139" spans="2:5" ht="63">
      <c r="B139" s="705" t="s">
        <v>290</v>
      </c>
      <c r="D139" s="658" t="s">
        <v>730</v>
      </c>
      <c r="E139" s="665" t="s">
        <v>731</v>
      </c>
    </row>
    <row r="140" spans="2:5">
      <c r="B140" s="708"/>
      <c r="C140" s="670"/>
      <c r="D140" s="658" t="s">
        <v>676</v>
      </c>
      <c r="E140" s="658" t="s">
        <v>696</v>
      </c>
    </row>
    <row r="141" spans="2:5">
      <c r="D141" s="658" t="s">
        <v>679</v>
      </c>
      <c r="E141" s="658" t="s">
        <v>979</v>
      </c>
    </row>
    <row r="142" spans="2:5">
      <c r="D142" s="658" t="s">
        <v>266</v>
      </c>
      <c r="E142" s="658" t="s">
        <v>667</v>
      </c>
    </row>
    <row r="143" spans="2:5">
      <c r="D143" s="658" t="s">
        <v>182</v>
      </c>
      <c r="E143" s="658" t="s">
        <v>680</v>
      </c>
    </row>
    <row r="144" spans="2:5">
      <c r="B144" s="705" t="s">
        <v>419</v>
      </c>
      <c r="D144" s="658" t="s">
        <v>400</v>
      </c>
      <c r="E144" s="729" t="s">
        <v>1254</v>
      </c>
    </row>
    <row r="145" spans="1:5">
      <c r="D145" s="658" t="s">
        <v>698</v>
      </c>
      <c r="E145" s="658" t="s">
        <v>706</v>
      </c>
    </row>
    <row r="146" spans="1:5">
      <c r="D146" s="658" t="s">
        <v>182</v>
      </c>
      <c r="E146" s="729" t="s">
        <v>1254</v>
      </c>
    </row>
    <row r="148" spans="1:5">
      <c r="A148" s="657" t="s">
        <v>681</v>
      </c>
      <c r="D148" s="658" t="s">
        <v>676</v>
      </c>
      <c r="E148" s="658" t="s">
        <v>682</v>
      </c>
    </row>
    <row r="149" spans="1:5" ht="31.5">
      <c r="D149" s="658" t="s">
        <v>683</v>
      </c>
      <c r="E149" s="658" t="s">
        <v>686</v>
      </c>
    </row>
    <row r="150" spans="1:5" ht="31.5">
      <c r="D150" s="658" t="s">
        <v>684</v>
      </c>
      <c r="E150" s="658" t="s">
        <v>686</v>
      </c>
    </row>
    <row r="151" spans="1:5">
      <c r="D151" s="658" t="s">
        <v>685</v>
      </c>
      <c r="E151" s="658" t="s">
        <v>686</v>
      </c>
    </row>
    <row r="152" spans="1:5">
      <c r="D152" s="658" t="s">
        <v>687</v>
      </c>
      <c r="E152" s="658" t="s">
        <v>667</v>
      </c>
    </row>
    <row r="153" spans="1:5">
      <c r="D153" s="658" t="s">
        <v>688</v>
      </c>
      <c r="E153" s="658" t="s">
        <v>689</v>
      </c>
    </row>
    <row r="154" spans="1:5">
      <c r="D154" s="658" t="s">
        <v>690</v>
      </c>
      <c r="E154" s="658" t="s">
        <v>691</v>
      </c>
    </row>
    <row r="155" spans="1:5">
      <c r="D155" s="658" t="s">
        <v>692</v>
      </c>
      <c r="E155" s="658" t="s">
        <v>693</v>
      </c>
    </row>
    <row r="156" spans="1:5">
      <c r="D156" s="658" t="s">
        <v>694</v>
      </c>
      <c r="E156" s="658" t="s">
        <v>695</v>
      </c>
    </row>
    <row r="157" spans="1:5" ht="47.25">
      <c r="D157" s="658" t="s">
        <v>623</v>
      </c>
      <c r="E157" s="658" t="s">
        <v>980</v>
      </c>
    </row>
    <row r="158" spans="1:5">
      <c r="D158" s="658" t="s">
        <v>697</v>
      </c>
      <c r="E158" s="658" t="s">
        <v>667</v>
      </c>
    </row>
    <row r="160" spans="1:5">
      <c r="A160" s="657" t="s">
        <v>1239</v>
      </c>
      <c r="E160" s="658" t="s">
        <v>1240</v>
      </c>
    </row>
    <row r="163" spans="1:5" s="660" customFormat="1">
      <c r="A163" s="660">
        <v>13</v>
      </c>
      <c r="B163" s="706" t="s">
        <v>1450</v>
      </c>
      <c r="C163" s="667"/>
      <c r="D163" s="661"/>
      <c r="E163" s="661"/>
    </row>
    <row r="164" spans="1:5">
      <c r="B164" s="705" t="s">
        <v>1451</v>
      </c>
      <c r="E164" s="658" t="s">
        <v>1452</v>
      </c>
    </row>
    <row r="165" spans="1:5">
      <c r="B165" s="705" t="s">
        <v>1453</v>
      </c>
      <c r="E165" s="658" t="s">
        <v>1454</v>
      </c>
    </row>
    <row r="166" spans="1:5">
      <c r="B166" s="705" t="s">
        <v>1455</v>
      </c>
      <c r="E166" s="658" t="s">
        <v>1456</v>
      </c>
    </row>
    <row r="167" spans="1:5" ht="31.5">
      <c r="B167" s="705" t="s">
        <v>1457</v>
      </c>
      <c r="E167" s="658" t="s">
        <v>1458</v>
      </c>
    </row>
    <row r="168" spans="1:5" ht="31.5">
      <c r="D168" s="658" t="s">
        <v>1459</v>
      </c>
      <c r="E168" s="658" t="s">
        <v>1460</v>
      </c>
    </row>
  </sheetData>
  <sheetProtection algorithmName="SHA-512" hashValue="bKqSAa071FsvzG6NvDE2AzEmmLfh1HnOAzjVLP8sasN92gs9JooWHk/UQadSruZ1Qi5QymUgPXOVCzU5tK1/7w==" saltValue="aO37KD2LxLAPQld72UiR2w==" spinCount="100000" sheet="1" objects="1" scenarios="1"/>
  <mergeCells count="1">
    <mergeCell ref="B101:C101"/>
  </mergeCells>
  <phoneticPr fontId="37"/>
  <pageMargins left="0.70866141732283472" right="0.70866141732283472" top="0.74803149606299213" bottom="0.74803149606299213" header="0.31496062992125984" footer="0.31496062992125984"/>
  <pageSetup paperSize="9" scale="58"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opLeftCell="B1" zoomScale="85" zoomScaleNormal="85" workbookViewId="0">
      <pane ySplit="1" topLeftCell="A7" activePane="bottomLeft" state="frozen"/>
      <selection activeCell="B1" sqref="B1"/>
      <selection pane="bottomLeft" activeCell="F20" sqref="F20"/>
    </sheetView>
  </sheetViews>
  <sheetFormatPr defaultRowHeight="15.75"/>
  <cols>
    <col min="1" max="1" width="9" style="183"/>
    <col min="2" max="2" width="12.75" style="811" bestFit="1" customWidth="1"/>
    <col min="3" max="3" width="12.75" style="183" bestFit="1" customWidth="1"/>
    <col min="4" max="4" width="11.75" style="183" bestFit="1" customWidth="1"/>
    <col min="5" max="5" width="12.375" style="806" bestFit="1" customWidth="1"/>
    <col min="6" max="6" width="93.25" style="684" customWidth="1"/>
    <col min="7" max="7" width="57.75" style="684" bestFit="1" customWidth="1"/>
    <col min="8" max="16384" width="9" style="183"/>
  </cols>
  <sheetData>
    <row r="1" spans="1:7">
      <c r="A1" s="166"/>
      <c r="B1" s="808" t="s">
        <v>1041</v>
      </c>
      <c r="C1" s="635" t="s">
        <v>1042</v>
      </c>
      <c r="D1" s="635" t="s">
        <v>1043</v>
      </c>
      <c r="E1" s="681" t="s">
        <v>1146</v>
      </c>
      <c r="F1" s="767" t="s">
        <v>1044</v>
      </c>
      <c r="G1" s="681" t="s">
        <v>1045</v>
      </c>
    </row>
    <row r="2" spans="1:7">
      <c r="A2" s="166"/>
      <c r="B2" s="809" t="s">
        <v>1046</v>
      </c>
      <c r="C2" s="640">
        <v>44190</v>
      </c>
      <c r="D2" s="638" t="s">
        <v>1054</v>
      </c>
      <c r="E2" s="682"/>
      <c r="F2" s="641" t="s">
        <v>1046</v>
      </c>
      <c r="G2" s="682"/>
    </row>
    <row r="3" spans="1:7">
      <c r="A3" s="166"/>
      <c r="B3" s="809">
        <v>44200</v>
      </c>
      <c r="C3" s="640" t="s">
        <v>1046</v>
      </c>
      <c r="D3" s="638" t="s">
        <v>1046</v>
      </c>
      <c r="E3" s="682" t="s">
        <v>1147</v>
      </c>
      <c r="F3" s="641" t="s">
        <v>1047</v>
      </c>
      <c r="G3" s="641" t="s">
        <v>1048</v>
      </c>
    </row>
    <row r="4" spans="1:7">
      <c r="A4" s="166"/>
      <c r="B4" s="809">
        <v>44200</v>
      </c>
      <c r="C4" s="640" t="s">
        <v>1049</v>
      </c>
      <c r="D4" s="638" t="s">
        <v>1049</v>
      </c>
      <c r="E4" s="682" t="s">
        <v>1147</v>
      </c>
      <c r="F4" s="641" t="s">
        <v>1050</v>
      </c>
      <c r="G4" s="641" t="s">
        <v>1048</v>
      </c>
    </row>
    <row r="5" spans="1:7">
      <c r="A5" s="166"/>
      <c r="B5" s="809">
        <v>44200</v>
      </c>
      <c r="C5" s="640" t="s">
        <v>1049</v>
      </c>
      <c r="D5" s="638" t="s">
        <v>1049</v>
      </c>
      <c r="E5" s="682" t="s">
        <v>1147</v>
      </c>
      <c r="F5" s="641" t="s">
        <v>1051</v>
      </c>
      <c r="G5" s="641" t="s">
        <v>1048</v>
      </c>
    </row>
    <row r="6" spans="1:7">
      <c r="A6" s="166"/>
      <c r="B6" s="809">
        <v>44200</v>
      </c>
      <c r="C6" s="640" t="s">
        <v>1049</v>
      </c>
      <c r="D6" s="638" t="s">
        <v>1049</v>
      </c>
      <c r="E6" s="682" t="s">
        <v>1147</v>
      </c>
      <c r="F6" s="641" t="s">
        <v>1052</v>
      </c>
      <c r="G6" s="641" t="s">
        <v>1053</v>
      </c>
    </row>
    <row r="7" spans="1:7">
      <c r="B7" s="809">
        <v>44201</v>
      </c>
      <c r="C7" s="640">
        <v>44201</v>
      </c>
      <c r="D7" s="638" t="s">
        <v>1055</v>
      </c>
      <c r="E7" s="682"/>
      <c r="F7" s="641" t="s">
        <v>1046</v>
      </c>
      <c r="G7" s="682"/>
    </row>
    <row r="8" spans="1:7">
      <c r="B8" s="809">
        <v>44203</v>
      </c>
      <c r="C8" s="640" t="s">
        <v>1046</v>
      </c>
      <c r="D8" s="638" t="s">
        <v>1046</v>
      </c>
      <c r="E8" s="682" t="s">
        <v>1148</v>
      </c>
      <c r="F8" s="683" t="s">
        <v>1057</v>
      </c>
      <c r="G8" s="641" t="s">
        <v>1053</v>
      </c>
    </row>
    <row r="9" spans="1:7">
      <c r="B9" s="809">
        <v>44210</v>
      </c>
      <c r="C9" s="640" t="s">
        <v>1046</v>
      </c>
      <c r="D9" s="638" t="s">
        <v>1046</v>
      </c>
      <c r="E9" s="682" t="s">
        <v>1149</v>
      </c>
      <c r="F9" s="683" t="s">
        <v>1058</v>
      </c>
      <c r="G9" s="641" t="s">
        <v>1053</v>
      </c>
    </row>
    <row r="10" spans="1:7" ht="31.5">
      <c r="B10" s="809">
        <v>44214</v>
      </c>
      <c r="C10" s="640">
        <v>44214</v>
      </c>
      <c r="D10" s="638" t="s">
        <v>1061</v>
      </c>
      <c r="E10" s="682" t="s">
        <v>1150</v>
      </c>
      <c r="F10" s="683" t="s">
        <v>1060</v>
      </c>
      <c r="G10" s="641" t="s">
        <v>1059</v>
      </c>
    </row>
    <row r="11" spans="1:7">
      <c r="B11" s="809">
        <v>44237</v>
      </c>
      <c r="C11" s="639"/>
      <c r="D11" s="642"/>
      <c r="E11" s="804" t="s">
        <v>1147</v>
      </c>
      <c r="F11" s="683" t="s">
        <v>1066</v>
      </c>
      <c r="G11" s="641" t="s">
        <v>1059</v>
      </c>
    </row>
    <row r="12" spans="1:7">
      <c r="B12" s="809">
        <v>44237</v>
      </c>
      <c r="C12" s="639"/>
      <c r="D12" s="642"/>
      <c r="E12" s="804" t="s">
        <v>1147</v>
      </c>
      <c r="F12" s="683" t="s">
        <v>1065</v>
      </c>
      <c r="G12" s="683" t="s">
        <v>1064</v>
      </c>
    </row>
    <row r="13" spans="1:7">
      <c r="B13" s="809">
        <v>44237</v>
      </c>
      <c r="C13" s="639"/>
      <c r="D13" s="642"/>
      <c r="E13" s="804" t="s">
        <v>1151</v>
      </c>
      <c r="F13" s="683" t="s">
        <v>1067</v>
      </c>
      <c r="G13" s="683" t="s">
        <v>1068</v>
      </c>
    </row>
    <row r="14" spans="1:7" ht="31.5">
      <c r="B14" s="809">
        <v>44237</v>
      </c>
      <c r="C14" s="639"/>
      <c r="D14" s="642"/>
      <c r="E14" s="804" t="s">
        <v>1152</v>
      </c>
      <c r="F14" s="683" t="s">
        <v>1069</v>
      </c>
      <c r="G14" s="641" t="s">
        <v>1070</v>
      </c>
    </row>
    <row r="15" spans="1:7">
      <c r="B15" s="809">
        <v>44237</v>
      </c>
      <c r="C15" s="640">
        <v>44242</v>
      </c>
      <c r="D15" s="638" t="s">
        <v>1072</v>
      </c>
      <c r="E15" s="682" t="s">
        <v>1147</v>
      </c>
      <c r="F15" s="683" t="s">
        <v>1071</v>
      </c>
      <c r="G15" s="683" t="s">
        <v>1048</v>
      </c>
    </row>
    <row r="16" spans="1:7">
      <c r="B16" s="809">
        <v>44246</v>
      </c>
      <c r="C16" s="637"/>
      <c r="D16" s="642"/>
      <c r="E16" s="804" t="s">
        <v>1147</v>
      </c>
      <c r="F16" s="683" t="s">
        <v>1074</v>
      </c>
      <c r="G16" s="683" t="s">
        <v>1048</v>
      </c>
    </row>
    <row r="17" spans="2:7">
      <c r="B17" s="809">
        <v>44246</v>
      </c>
      <c r="C17" s="637"/>
      <c r="D17" s="642"/>
      <c r="E17" s="804" t="s">
        <v>1150</v>
      </c>
      <c r="F17" s="683" t="s">
        <v>1076</v>
      </c>
      <c r="G17" s="641" t="s">
        <v>1083</v>
      </c>
    </row>
    <row r="18" spans="2:7">
      <c r="B18" s="809">
        <v>44267</v>
      </c>
      <c r="C18" s="637"/>
      <c r="D18" s="642"/>
      <c r="E18" s="804" t="s">
        <v>1147</v>
      </c>
      <c r="F18" s="683" t="s">
        <v>1080</v>
      </c>
      <c r="G18" s="683" t="s">
        <v>1082</v>
      </c>
    </row>
    <row r="19" spans="2:7">
      <c r="B19" s="809">
        <v>44363</v>
      </c>
      <c r="C19" s="637">
        <v>44375</v>
      </c>
      <c r="D19" s="638" t="s">
        <v>1084</v>
      </c>
      <c r="E19" s="682" t="s">
        <v>1147</v>
      </c>
      <c r="F19" s="683" t="s">
        <v>1085</v>
      </c>
      <c r="G19" s="683" t="s">
        <v>1086</v>
      </c>
    </row>
    <row r="20" spans="2:7">
      <c r="B20" s="813">
        <v>44553</v>
      </c>
      <c r="C20" s="814"/>
      <c r="D20" s="815" t="s">
        <v>1089</v>
      </c>
      <c r="E20" s="816" t="s">
        <v>1153</v>
      </c>
      <c r="F20" s="817" t="s">
        <v>1202</v>
      </c>
      <c r="G20" s="817"/>
    </row>
    <row r="21" spans="2:7" ht="78.75">
      <c r="B21" s="813">
        <v>44553</v>
      </c>
      <c r="C21" s="814"/>
      <c r="D21" s="815" t="s">
        <v>1089</v>
      </c>
      <c r="E21" s="816" t="s">
        <v>1154</v>
      </c>
      <c r="F21" s="818" t="s">
        <v>1157</v>
      </c>
      <c r="G21" s="817" t="s">
        <v>1156</v>
      </c>
    </row>
    <row r="22" spans="2:7" ht="110.25">
      <c r="B22" s="813">
        <v>44553</v>
      </c>
      <c r="C22" s="814"/>
      <c r="D22" s="815" t="s">
        <v>1089</v>
      </c>
      <c r="E22" s="816" t="s">
        <v>1150</v>
      </c>
      <c r="F22" s="818" t="s">
        <v>1130</v>
      </c>
      <c r="G22" s="818" t="s">
        <v>1203</v>
      </c>
    </row>
    <row r="23" spans="2:7" ht="31.5">
      <c r="B23" s="813">
        <v>44553</v>
      </c>
      <c r="C23" s="814"/>
      <c r="D23" s="815" t="s">
        <v>1089</v>
      </c>
      <c r="E23" s="816" t="s">
        <v>1209</v>
      </c>
      <c r="F23" s="818" t="s">
        <v>1210</v>
      </c>
      <c r="G23" s="818" t="s">
        <v>1211</v>
      </c>
    </row>
    <row r="24" spans="2:7" ht="31.5">
      <c r="B24" s="813">
        <v>44553</v>
      </c>
      <c r="C24" s="819"/>
      <c r="D24" s="815" t="s">
        <v>1089</v>
      </c>
      <c r="E24" s="816" t="s">
        <v>1155</v>
      </c>
      <c r="F24" s="820" t="s">
        <v>1212</v>
      </c>
      <c r="G24" s="818" t="s">
        <v>1158</v>
      </c>
    </row>
    <row r="25" spans="2:7">
      <c r="B25" s="813">
        <v>44553</v>
      </c>
      <c r="C25" s="819"/>
      <c r="D25" s="815" t="s">
        <v>1089</v>
      </c>
      <c r="E25" s="816" t="s">
        <v>1159</v>
      </c>
      <c r="F25" s="817" t="s">
        <v>1160</v>
      </c>
      <c r="G25" s="817" t="s">
        <v>1213</v>
      </c>
    </row>
    <row r="26" spans="2:7">
      <c r="B26" s="813">
        <v>44553</v>
      </c>
      <c r="C26" s="819"/>
      <c r="D26" s="815" t="s">
        <v>1089</v>
      </c>
      <c r="E26" s="816" t="s">
        <v>1161</v>
      </c>
      <c r="F26" s="817" t="s">
        <v>1160</v>
      </c>
      <c r="G26" s="817" t="s">
        <v>1162</v>
      </c>
    </row>
    <row r="27" spans="2:7" ht="63">
      <c r="B27" s="813">
        <v>44553</v>
      </c>
      <c r="C27" s="819"/>
      <c r="D27" s="815" t="s">
        <v>1089</v>
      </c>
      <c r="E27" s="816" t="s">
        <v>1163</v>
      </c>
      <c r="F27" s="818" t="s">
        <v>1244</v>
      </c>
      <c r="G27" s="820" t="s">
        <v>1245</v>
      </c>
    </row>
    <row r="28" spans="2:7">
      <c r="B28" s="813">
        <v>44553</v>
      </c>
      <c r="C28" s="819"/>
      <c r="D28" s="815" t="s">
        <v>1089</v>
      </c>
      <c r="E28" s="816" t="s">
        <v>1150</v>
      </c>
      <c r="F28" s="817" t="s">
        <v>1195</v>
      </c>
      <c r="G28" s="817" t="s">
        <v>1194</v>
      </c>
    </row>
    <row r="29" spans="2:7">
      <c r="B29" s="813">
        <v>44553</v>
      </c>
      <c r="C29" s="819"/>
      <c r="D29" s="815" t="s">
        <v>1089</v>
      </c>
      <c r="E29" s="816" t="s">
        <v>1193</v>
      </c>
      <c r="F29" s="817" t="s">
        <v>1195</v>
      </c>
      <c r="G29" s="817" t="s">
        <v>1194</v>
      </c>
    </row>
    <row r="30" spans="2:7" ht="31.5">
      <c r="B30" s="813">
        <v>44553</v>
      </c>
      <c r="C30" s="821"/>
      <c r="D30" s="815" t="s">
        <v>1089</v>
      </c>
      <c r="E30" s="816" t="s">
        <v>1150</v>
      </c>
      <c r="F30" s="818" t="s">
        <v>1205</v>
      </c>
      <c r="G30" s="818" t="s">
        <v>1204</v>
      </c>
    </row>
    <row r="31" spans="2:7">
      <c r="B31" s="813">
        <v>44553</v>
      </c>
      <c r="C31" s="822"/>
      <c r="D31" s="823" t="s">
        <v>1089</v>
      </c>
      <c r="E31" s="824" t="s">
        <v>1223</v>
      </c>
      <c r="F31" s="825" t="s">
        <v>1224</v>
      </c>
      <c r="G31" s="825" t="s">
        <v>1225</v>
      </c>
    </row>
    <row r="32" spans="2:7" ht="31.5">
      <c r="B32" s="813">
        <v>44553</v>
      </c>
      <c r="C32" s="826"/>
      <c r="D32" s="823" t="s">
        <v>1089</v>
      </c>
      <c r="E32" s="824" t="s">
        <v>1228</v>
      </c>
      <c r="F32" s="827" t="s">
        <v>1229</v>
      </c>
      <c r="G32" s="825" t="s">
        <v>1230</v>
      </c>
    </row>
    <row r="33" spans="2:7" ht="47.25">
      <c r="B33" s="813">
        <v>44553</v>
      </c>
      <c r="C33" s="819"/>
      <c r="D33" s="815" t="s">
        <v>1248</v>
      </c>
      <c r="E33" s="816" t="s">
        <v>1249</v>
      </c>
      <c r="F33" s="818" t="s">
        <v>1250</v>
      </c>
      <c r="G33" s="820" t="s">
        <v>1251</v>
      </c>
    </row>
    <row r="34" spans="2:7" s="723" customFormat="1" ht="47.25">
      <c r="B34" s="813">
        <v>44553</v>
      </c>
      <c r="C34" s="828">
        <v>44554</v>
      </c>
      <c r="D34" s="815" t="s">
        <v>1417</v>
      </c>
      <c r="E34" s="816" t="s">
        <v>1418</v>
      </c>
      <c r="F34" s="818" t="s">
        <v>1448</v>
      </c>
      <c r="G34" s="817" t="s">
        <v>1449</v>
      </c>
    </row>
    <row r="35" spans="2:7">
      <c r="B35" s="810">
        <v>44769</v>
      </c>
      <c r="C35" s="636"/>
      <c r="D35" s="801" t="s">
        <v>1463</v>
      </c>
      <c r="E35" s="805"/>
      <c r="F35" s="677" t="s">
        <v>1464</v>
      </c>
      <c r="G35" s="677"/>
    </row>
    <row r="36" spans="2:7" ht="31.5">
      <c r="B36" s="810">
        <v>44777</v>
      </c>
      <c r="C36" s="250"/>
      <c r="D36" s="250" t="s">
        <v>1465</v>
      </c>
      <c r="E36" s="805" t="s">
        <v>1468</v>
      </c>
      <c r="F36" s="680" t="s">
        <v>1466</v>
      </c>
      <c r="G36" s="677" t="s">
        <v>1469</v>
      </c>
    </row>
    <row r="37" spans="2:7">
      <c r="B37" s="810">
        <v>44777</v>
      </c>
      <c r="C37" s="250"/>
      <c r="D37" s="250" t="s">
        <v>1470</v>
      </c>
      <c r="E37" s="805" t="s">
        <v>1150</v>
      </c>
      <c r="F37" s="677" t="s">
        <v>1471</v>
      </c>
      <c r="G37" s="677" t="s">
        <v>1472</v>
      </c>
    </row>
    <row r="38" spans="2:7">
      <c r="B38" s="810">
        <v>44782</v>
      </c>
      <c r="C38" s="250"/>
      <c r="D38" s="250" t="s">
        <v>1473</v>
      </c>
      <c r="E38" s="722" t="s">
        <v>1150</v>
      </c>
      <c r="F38" s="807" t="s">
        <v>1474</v>
      </c>
      <c r="G38" s="807" t="s">
        <v>1475</v>
      </c>
    </row>
    <row r="39" spans="2:7" ht="32.25" customHeight="1">
      <c r="B39" s="812">
        <v>44897</v>
      </c>
      <c r="C39" s="186"/>
      <c r="D39" s="250" t="s">
        <v>1478</v>
      </c>
      <c r="E39" s="250" t="s">
        <v>1482</v>
      </c>
      <c r="F39" s="717" t="s">
        <v>1481</v>
      </c>
      <c r="G39" s="680" t="s">
        <v>1480</v>
      </c>
    </row>
    <row r="40" spans="2:7">
      <c r="B40" s="810">
        <v>45260</v>
      </c>
      <c r="C40" s="636"/>
      <c r="D40" s="801" t="s">
        <v>1486</v>
      </c>
      <c r="E40" s="805"/>
      <c r="F40" s="677" t="s">
        <v>1487</v>
      </c>
      <c r="G40" s="680" t="s">
        <v>1480</v>
      </c>
    </row>
    <row r="41" spans="2:7">
      <c r="B41" s="810">
        <v>44895</v>
      </c>
      <c r="C41" s="636"/>
      <c r="D41" s="801" t="s">
        <v>1537</v>
      </c>
      <c r="E41" s="805" t="s">
        <v>1509</v>
      </c>
      <c r="F41" s="677" t="s">
        <v>1510</v>
      </c>
      <c r="G41" s="680" t="s">
        <v>1480</v>
      </c>
    </row>
  </sheetData>
  <sheetProtection algorithmName="SHA-512" hashValue="3FT2mkXnJwmPJ2NjtfhlJgNPdS1EJeUZ4suH5mJH3zAW+cbn4SjyBjAMSAQHr8o6yMEMnjzhjsQwE5oLgXs7ow==" saltValue="OAsIFzjdhhDmLgvMCOjQuw==" spinCount="100000" sheet="1" objects="1" scenarios="1"/>
  <phoneticPr fontId="37"/>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showRowColHeaders="0" zoomScaleNormal="100" workbookViewId="0">
      <selection activeCell="J17" sqref="J17"/>
    </sheetView>
  </sheetViews>
  <sheetFormatPr defaultColWidth="0" defaultRowHeight="16.5" customHeight="1" zeroHeight="1"/>
  <cols>
    <col min="1" max="1" width="6.375" customWidth="1"/>
    <col min="2" max="2" width="4.125" customWidth="1"/>
    <col min="3" max="3" width="3.375" customWidth="1"/>
    <col min="4" max="4" width="16.25" customWidth="1"/>
    <col min="5" max="5" width="3.625" style="28" customWidth="1"/>
    <col min="6" max="6" width="2.25" customWidth="1"/>
    <col min="7" max="7" width="13.625" customWidth="1"/>
    <col min="8" max="8" width="3.375" customWidth="1"/>
    <col min="9" max="9" width="3.875" customWidth="1"/>
    <col min="10" max="10" width="21.375" customWidth="1"/>
    <col min="11" max="15" width="9" customWidth="1"/>
    <col min="16" max="16384" width="9" hidden="1"/>
  </cols>
  <sheetData>
    <row r="1" spans="1:15" s="295" customFormat="1" ht="15.95" customHeight="1">
      <c r="A1" s="313"/>
      <c r="B1" s="314" t="s">
        <v>738</v>
      </c>
      <c r="C1" s="313" t="s">
        <v>272</v>
      </c>
      <c r="D1" s="313"/>
      <c r="E1" s="315"/>
      <c r="F1" s="313"/>
      <c r="G1" s="313"/>
      <c r="H1" s="313"/>
      <c r="I1" s="313"/>
      <c r="J1" s="313"/>
      <c r="K1" s="313"/>
      <c r="L1" s="313"/>
      <c r="M1" s="313"/>
      <c r="N1" s="313"/>
      <c r="O1" s="313"/>
    </row>
    <row r="2" spans="1:15" s="317" customFormat="1" ht="15.95" customHeight="1">
      <c r="A2" s="293"/>
      <c r="B2" s="293"/>
      <c r="C2" s="293" t="s">
        <v>739</v>
      </c>
      <c r="D2" s="293"/>
      <c r="E2" s="316"/>
      <c r="F2" s="293"/>
      <c r="G2" s="293"/>
      <c r="H2" s="293"/>
      <c r="I2" s="293"/>
      <c r="J2" s="293"/>
      <c r="K2" s="293"/>
      <c r="L2" s="293"/>
      <c r="M2" s="293"/>
      <c r="N2" s="293"/>
      <c r="O2" s="293"/>
    </row>
    <row r="3" spans="1:15" s="317" customFormat="1" ht="15.95" customHeight="1">
      <c r="A3" s="293"/>
      <c r="B3" s="293"/>
      <c r="C3" s="293" t="s">
        <v>1214</v>
      </c>
      <c r="D3" s="293"/>
      <c r="E3" s="316"/>
      <c r="F3" s="293"/>
      <c r="G3" s="293"/>
      <c r="H3" s="293"/>
      <c r="I3" s="293"/>
      <c r="J3" s="293"/>
      <c r="K3" s="293"/>
      <c r="L3" s="293"/>
      <c r="M3" s="293"/>
      <c r="N3" s="293"/>
      <c r="O3" s="293"/>
    </row>
    <row r="4" spans="1:15" s="317" customFormat="1" ht="15.95" customHeight="1">
      <c r="A4" s="293"/>
      <c r="B4" s="293"/>
      <c r="C4" s="293"/>
      <c r="D4" s="293"/>
      <c r="E4" s="316"/>
      <c r="F4" s="293"/>
      <c r="G4" s="293"/>
      <c r="H4" s="293"/>
      <c r="I4" s="293"/>
      <c r="J4" s="293"/>
      <c r="K4" s="293"/>
      <c r="L4" s="293"/>
      <c r="M4" s="293"/>
      <c r="N4" s="293"/>
      <c r="O4" s="293"/>
    </row>
    <row r="5" spans="1:15" s="317" customFormat="1" ht="15.95" customHeight="1">
      <c r="A5" s="293"/>
      <c r="B5" s="293"/>
      <c r="C5" s="293" t="s">
        <v>740</v>
      </c>
      <c r="D5" s="293"/>
      <c r="E5" s="316"/>
      <c r="F5" s="293"/>
      <c r="G5" s="293"/>
      <c r="H5" s="293"/>
      <c r="I5" s="293"/>
      <c r="J5" s="293"/>
      <c r="K5" s="293"/>
      <c r="L5" s="293"/>
      <c r="M5" s="293"/>
      <c r="N5" s="293"/>
      <c r="O5" s="293"/>
    </row>
    <row r="6" spans="1:15" s="317" customFormat="1" ht="15.95" customHeight="1">
      <c r="A6" s="293"/>
      <c r="B6" s="293"/>
      <c r="C6" s="293"/>
      <c r="D6" s="318" t="s">
        <v>258</v>
      </c>
      <c r="E6" s="888"/>
      <c r="F6" s="888"/>
      <c r="G6" s="888"/>
      <c r="H6" s="888"/>
      <c r="I6" s="888"/>
      <c r="J6" s="293"/>
      <c r="K6" s="293"/>
      <c r="L6" s="293"/>
      <c r="M6" s="293"/>
      <c r="N6" s="293"/>
      <c r="O6" s="293"/>
    </row>
    <row r="7" spans="1:15" s="317" customFormat="1" ht="15.95" customHeight="1">
      <c r="A7" s="293"/>
      <c r="B7" s="293"/>
      <c r="C7" s="293"/>
      <c r="D7" s="318" t="s">
        <v>259</v>
      </c>
      <c r="E7" s="888"/>
      <c r="F7" s="888"/>
      <c r="G7" s="888"/>
      <c r="H7" s="888"/>
      <c r="I7" s="888"/>
      <c r="J7" s="293"/>
      <c r="K7" s="293"/>
      <c r="L7" s="293"/>
      <c r="M7" s="293"/>
      <c r="N7" s="293"/>
      <c r="O7" s="293"/>
    </row>
    <row r="8" spans="1:15" s="317" customFormat="1" ht="15.95" customHeight="1">
      <c r="A8" s="293"/>
      <c r="B8" s="293"/>
      <c r="C8" s="293"/>
      <c r="D8" s="318" t="s">
        <v>260</v>
      </c>
      <c r="E8" s="889"/>
      <c r="F8" s="889"/>
      <c r="G8" s="889"/>
      <c r="H8" s="889"/>
      <c r="I8" s="889"/>
      <c r="J8" s="293"/>
      <c r="K8" s="293"/>
      <c r="L8" s="293"/>
      <c r="M8" s="293"/>
      <c r="N8" s="293"/>
      <c r="O8" s="293"/>
    </row>
    <row r="9" spans="1:15" s="317" customFormat="1" ht="15.95" customHeight="1">
      <c r="A9" s="293"/>
      <c r="B9" s="293"/>
      <c r="C9" s="293"/>
      <c r="D9" s="310"/>
      <c r="E9" s="319"/>
      <c r="F9" s="293"/>
      <c r="G9" s="293"/>
      <c r="H9" s="293"/>
      <c r="I9" s="293"/>
      <c r="J9" s="293"/>
      <c r="K9" s="293"/>
      <c r="L9" s="293"/>
      <c r="M9" s="293"/>
      <c r="N9" s="293"/>
      <c r="O9" s="293"/>
    </row>
    <row r="10" spans="1:15" s="317" customFormat="1" ht="15.95" customHeight="1">
      <c r="A10" s="293"/>
      <c r="B10" s="293"/>
      <c r="C10" s="320" t="s">
        <v>1485</v>
      </c>
      <c r="D10" s="310"/>
      <c r="E10" s="319"/>
      <c r="F10" s="293"/>
      <c r="G10" s="293"/>
      <c r="H10" s="293"/>
      <c r="I10" s="293"/>
      <c r="J10" s="293"/>
      <c r="K10" s="293"/>
      <c r="L10" s="293"/>
      <c r="M10" s="293"/>
      <c r="N10" s="293"/>
      <c r="O10" s="293"/>
    </row>
    <row r="11" spans="1:15" s="317" customFormat="1" ht="15.95" customHeight="1">
      <c r="A11" s="293"/>
      <c r="B11" s="293"/>
      <c r="C11" s="293"/>
      <c r="D11" s="318" t="s">
        <v>191</v>
      </c>
      <c r="E11" s="889"/>
      <c r="F11" s="889"/>
      <c r="G11" s="889"/>
      <c r="H11" s="889"/>
      <c r="I11" s="889"/>
      <c r="J11" s="293"/>
      <c r="K11" s="293"/>
      <c r="L11" s="293"/>
      <c r="M11" s="293"/>
      <c r="N11" s="293"/>
      <c r="O11" s="293"/>
    </row>
    <row r="12" spans="1:15" s="317" customFormat="1" ht="15.95" customHeight="1">
      <c r="A12" s="293"/>
      <c r="B12" s="293"/>
      <c r="C12" s="293"/>
      <c r="D12" s="318" t="s">
        <v>261</v>
      </c>
      <c r="E12" s="889"/>
      <c r="F12" s="889"/>
      <c r="G12" s="889"/>
      <c r="H12" s="889"/>
      <c r="I12" s="889"/>
      <c r="J12" s="293"/>
      <c r="K12" s="293"/>
      <c r="L12" s="293"/>
      <c r="M12" s="293"/>
      <c r="N12" s="293"/>
      <c r="O12" s="293"/>
    </row>
    <row r="13" spans="1:15" s="317" customFormat="1" ht="15.95" customHeight="1">
      <c r="A13" s="293"/>
      <c r="B13" s="293"/>
      <c r="C13" s="293"/>
      <c r="D13" s="293"/>
      <c r="E13" s="316"/>
      <c r="F13" s="293"/>
      <c r="G13" s="293"/>
      <c r="H13" s="293"/>
      <c r="I13" s="293"/>
      <c r="J13" s="293"/>
      <c r="K13" s="293"/>
      <c r="L13" s="293"/>
      <c r="M13" s="293"/>
      <c r="N13" s="293"/>
      <c r="O13" s="293"/>
    </row>
    <row r="14" spans="1:15" s="317" customFormat="1" ht="15.95" customHeight="1">
      <c r="A14" s="293"/>
      <c r="B14" s="293"/>
      <c r="C14" s="320" t="s">
        <v>741</v>
      </c>
      <c r="D14" s="293"/>
      <c r="E14" s="316"/>
      <c r="F14" s="293"/>
      <c r="G14" s="293"/>
      <c r="H14" s="293"/>
      <c r="I14" s="293"/>
      <c r="J14" s="293"/>
      <c r="K14" s="293"/>
      <c r="L14" s="293"/>
      <c r="M14" s="293"/>
      <c r="N14" s="293"/>
      <c r="O14" s="293"/>
    </row>
    <row r="15" spans="1:15" s="317" customFormat="1" ht="15.95" customHeight="1">
      <c r="A15" s="293"/>
      <c r="B15" s="293"/>
      <c r="C15" s="320" t="s">
        <v>742</v>
      </c>
      <c r="D15" s="293"/>
      <c r="E15" s="316"/>
      <c r="F15" s="293"/>
      <c r="G15" s="293"/>
      <c r="H15" s="293"/>
      <c r="I15" s="293"/>
      <c r="J15" s="293"/>
      <c r="K15" s="293"/>
      <c r="L15" s="293"/>
      <c r="M15" s="293"/>
      <c r="N15" s="293"/>
      <c r="O15" s="293"/>
    </row>
    <row r="16" spans="1:15" s="317" customFormat="1" ht="15.95" customHeight="1">
      <c r="A16" s="293"/>
      <c r="B16" s="293"/>
      <c r="C16" s="293"/>
      <c r="D16" s="318" t="s">
        <v>269</v>
      </c>
      <c r="E16" s="622" t="s">
        <v>18</v>
      </c>
      <c r="F16" s="320"/>
      <c r="G16" s="318" t="s">
        <v>264</v>
      </c>
      <c r="H16" s="622" t="s">
        <v>18</v>
      </c>
      <c r="I16" s="293"/>
      <c r="J16" s="293"/>
      <c r="K16" s="293"/>
      <c r="L16" s="293"/>
      <c r="M16" s="293"/>
      <c r="N16" s="293"/>
      <c r="O16" s="293"/>
    </row>
    <row r="17" spans="1:15" s="317" customFormat="1" ht="15.95" customHeight="1">
      <c r="A17" s="293"/>
      <c r="B17" s="293"/>
      <c r="C17" s="293"/>
      <c r="D17" s="318" t="s">
        <v>262</v>
      </c>
      <c r="E17" s="622" t="s">
        <v>18</v>
      </c>
      <c r="F17" s="320"/>
      <c r="G17" s="318" t="s">
        <v>450</v>
      </c>
      <c r="H17" s="622" t="s">
        <v>18</v>
      </c>
      <c r="I17" s="293"/>
      <c r="J17" s="293"/>
      <c r="K17" s="293"/>
      <c r="L17" s="293"/>
      <c r="M17" s="293"/>
      <c r="N17" s="293"/>
      <c r="O17" s="293"/>
    </row>
    <row r="18" spans="1:15" s="317" customFormat="1" ht="15.95" customHeight="1">
      <c r="A18" s="293"/>
      <c r="B18" s="293"/>
      <c r="C18" s="293"/>
      <c r="D18" s="318" t="s">
        <v>263</v>
      </c>
      <c r="E18" s="622" t="s">
        <v>18</v>
      </c>
      <c r="F18" s="320"/>
      <c r="G18" s="318" t="s">
        <v>451</v>
      </c>
      <c r="H18" s="622" t="s">
        <v>18</v>
      </c>
      <c r="I18" s="293"/>
      <c r="J18" s="293"/>
      <c r="K18" s="293"/>
      <c r="L18" s="293"/>
      <c r="M18" s="293"/>
      <c r="N18" s="293"/>
      <c r="O18" s="293"/>
    </row>
    <row r="19" spans="1:15" s="317" customFormat="1" ht="15.95" customHeight="1">
      <c r="A19" s="293"/>
      <c r="B19" s="293"/>
      <c r="C19" s="293"/>
      <c r="D19" s="318" t="s">
        <v>265</v>
      </c>
      <c r="E19" s="622" t="s">
        <v>18</v>
      </c>
      <c r="F19" s="320"/>
      <c r="G19" s="318" t="s">
        <v>266</v>
      </c>
      <c r="H19" s="622" t="s">
        <v>18</v>
      </c>
      <c r="I19" s="321" t="s">
        <v>267</v>
      </c>
      <c r="J19" s="623"/>
      <c r="K19" s="322" t="s">
        <v>268</v>
      </c>
      <c r="L19" s="293"/>
      <c r="M19" s="293"/>
      <c r="N19" s="293"/>
      <c r="O19" s="293"/>
    </row>
    <row r="20" spans="1:15" s="317" customFormat="1" ht="15.95" customHeight="1">
      <c r="A20" s="293"/>
      <c r="B20" s="293"/>
      <c r="C20" s="293"/>
      <c r="D20" s="293"/>
      <c r="E20" s="316"/>
      <c r="F20" s="293"/>
      <c r="G20" s="293"/>
      <c r="H20" s="293"/>
      <c r="I20" s="293"/>
      <c r="J20" s="293"/>
      <c r="K20" s="293"/>
      <c r="L20" s="293"/>
      <c r="M20" s="293"/>
      <c r="N20" s="293"/>
      <c r="O20" s="293"/>
    </row>
    <row r="21" spans="1:15" s="317" customFormat="1" ht="15.95" customHeight="1">
      <c r="A21" s="293"/>
      <c r="B21" s="293"/>
      <c r="C21" s="293"/>
      <c r="D21" s="293" t="s">
        <v>743</v>
      </c>
      <c r="E21" s="316"/>
      <c r="F21" s="293"/>
      <c r="G21" s="293"/>
      <c r="H21" s="293"/>
      <c r="I21" s="293"/>
      <c r="J21" s="293"/>
      <c r="K21" s="293"/>
      <c r="L21" s="293"/>
      <c r="M21" s="293"/>
      <c r="N21" s="293"/>
      <c r="O21" s="293"/>
    </row>
    <row r="22" spans="1:15" s="317" customFormat="1" ht="15.95" customHeight="1">
      <c r="A22" s="293"/>
      <c r="B22" s="293"/>
      <c r="C22" s="293"/>
      <c r="D22" s="318" t="s">
        <v>270</v>
      </c>
      <c r="E22" s="889"/>
      <c r="F22" s="889"/>
      <c r="G22" s="889"/>
      <c r="H22" s="318" t="s">
        <v>271</v>
      </c>
      <c r="I22" s="889"/>
      <c r="J22" s="889"/>
      <c r="K22" s="293"/>
      <c r="L22" s="293"/>
      <c r="M22" s="293"/>
      <c r="N22" s="293"/>
      <c r="O22" s="293"/>
    </row>
    <row r="23" spans="1:15" s="317" customFormat="1" ht="15.95" customHeight="1">
      <c r="A23" s="293"/>
      <c r="B23" s="293"/>
      <c r="C23" s="293"/>
      <c r="D23" s="293"/>
      <c r="E23" s="316"/>
      <c r="F23" s="293"/>
      <c r="G23" s="293"/>
      <c r="H23" s="293"/>
      <c r="I23" s="293"/>
      <c r="J23" s="293"/>
      <c r="K23" s="293"/>
      <c r="L23" s="293"/>
      <c r="M23" s="293"/>
      <c r="N23" s="293"/>
      <c r="O23" s="293"/>
    </row>
    <row r="24" spans="1:15" s="317" customFormat="1" ht="15.95" customHeight="1">
      <c r="A24" s="293"/>
      <c r="B24" s="293"/>
      <c r="C24" s="293" t="s">
        <v>1196</v>
      </c>
      <c r="D24" s="293"/>
      <c r="E24" s="316"/>
      <c r="F24" s="293"/>
      <c r="G24" s="293"/>
      <c r="H24" s="293"/>
      <c r="I24" s="293"/>
      <c r="J24" s="293"/>
      <c r="K24" s="293"/>
      <c r="L24" s="293"/>
      <c r="M24" s="293"/>
      <c r="N24" s="293"/>
      <c r="O24" s="293"/>
    </row>
    <row r="25" spans="1:15" s="317" customFormat="1" ht="15.95" customHeight="1">
      <c r="A25" s="293"/>
      <c r="B25" s="293"/>
      <c r="C25" s="293"/>
      <c r="D25" s="318" t="s">
        <v>266</v>
      </c>
      <c r="E25" s="890"/>
      <c r="F25" s="890"/>
      <c r="G25" s="890"/>
      <c r="H25" s="890"/>
      <c r="I25" s="890"/>
      <c r="J25" s="890"/>
      <c r="K25" s="890"/>
      <c r="L25" s="890"/>
      <c r="M25" s="890"/>
      <c r="N25" s="890"/>
      <c r="O25" s="293"/>
    </row>
    <row r="26" spans="1:15" s="317" customFormat="1" ht="15.95" customHeight="1">
      <c r="A26" s="293"/>
      <c r="B26" s="293"/>
      <c r="C26" s="293"/>
      <c r="D26" s="293"/>
      <c r="E26" s="316"/>
      <c r="F26" s="293"/>
      <c r="G26" s="293"/>
      <c r="H26" s="293"/>
      <c r="I26" s="293"/>
      <c r="J26" s="293"/>
      <c r="K26" s="293"/>
      <c r="L26" s="293"/>
      <c r="M26" s="293"/>
      <c r="N26" s="293"/>
      <c r="O26" s="293"/>
    </row>
    <row r="27" spans="1:15" s="323" customFormat="1" ht="15.95" customHeight="1">
      <c r="A27" s="305"/>
      <c r="B27" s="305"/>
      <c r="C27" s="323" t="s">
        <v>1215</v>
      </c>
      <c r="D27" s="305"/>
      <c r="E27" s="324"/>
      <c r="F27" s="305"/>
      <c r="G27" s="305"/>
      <c r="H27" s="305"/>
      <c r="I27" s="305" t="s">
        <v>304</v>
      </c>
      <c r="K27" s="305"/>
      <c r="L27" s="305"/>
      <c r="M27" s="305"/>
      <c r="N27" s="305"/>
      <c r="O27" s="305"/>
    </row>
    <row r="28" spans="1:15" s="323" customFormat="1" ht="16.5" customHeight="1">
      <c r="A28" s="305"/>
      <c r="B28" s="305"/>
      <c r="C28" s="325" t="s">
        <v>955</v>
      </c>
      <c r="D28" s="891" t="s">
        <v>1216</v>
      </c>
      <c r="E28" s="891"/>
      <c r="F28" s="891"/>
      <c r="G28" s="891"/>
      <c r="H28" s="305"/>
      <c r="I28" s="308" t="s">
        <v>298</v>
      </c>
      <c r="J28" s="891" t="s">
        <v>1097</v>
      </c>
      <c r="K28" s="891"/>
      <c r="L28" s="891"/>
      <c r="M28" s="891"/>
      <c r="N28" s="891"/>
      <c r="O28" s="305"/>
    </row>
    <row r="29" spans="1:15" s="312" customFormat="1" ht="16.5" hidden="1" customHeight="1">
      <c r="A29" s="310"/>
      <c r="B29" s="310"/>
      <c r="C29" s="310"/>
      <c r="D29" s="326"/>
      <c r="E29" s="326"/>
      <c r="F29" s="326"/>
      <c r="G29" s="326"/>
      <c r="H29" s="326"/>
      <c r="I29" s="326"/>
      <c r="J29" s="326"/>
      <c r="K29" s="310"/>
      <c r="L29" s="310"/>
      <c r="M29" s="310"/>
      <c r="N29" s="310"/>
      <c r="O29" s="310"/>
    </row>
    <row r="30" spans="1:15" s="886" customFormat="1" ht="15.95" customHeight="1">
      <c r="A30" s="886" t="s">
        <v>952</v>
      </c>
    </row>
    <row r="31" spans="1:15" ht="16.5" hidden="1" customHeight="1">
      <c r="A31" s="164"/>
      <c r="B31" s="164"/>
      <c r="C31" s="164"/>
      <c r="D31" s="164"/>
      <c r="E31" s="166"/>
      <c r="F31" s="164"/>
      <c r="G31" s="164"/>
      <c r="H31" s="164"/>
      <c r="I31" s="164"/>
      <c r="J31" s="164"/>
      <c r="K31" s="164"/>
      <c r="L31" s="164"/>
      <c r="M31" s="164"/>
      <c r="N31" s="164"/>
      <c r="O31" s="164"/>
    </row>
    <row r="32" spans="1:15" ht="16.5" hidden="1" customHeight="1">
      <c r="A32" s="164"/>
      <c r="B32" s="164"/>
      <c r="C32" s="164"/>
      <c r="D32" s="164"/>
      <c r="E32" s="166"/>
      <c r="F32" s="164"/>
      <c r="G32" s="164"/>
      <c r="H32" s="164"/>
      <c r="I32" s="164"/>
      <c r="J32" s="164"/>
      <c r="K32" s="164"/>
      <c r="L32" s="164"/>
      <c r="M32" s="164"/>
      <c r="N32" s="164"/>
      <c r="O32" s="164"/>
    </row>
  </sheetData>
  <sheetProtection algorithmName="SHA-512" hashValue="rHiW8Cn0i5/4c2Ljfzjq93OdxeL3FzMH9j0eCEw0a1wZNvnIwrkHDS68nA4Yu8u0GhuQGCZ72P3wVZ00NGck8Q==" saltValue="4glWJ9D8B1BoVvQqJUUrnw==" spinCount="100000" sheet="1" objects="1" scenarios="1"/>
  <mergeCells count="11">
    <mergeCell ref="A30:XFD30"/>
    <mergeCell ref="E12:I12"/>
    <mergeCell ref="E25:N25"/>
    <mergeCell ref="E22:G22"/>
    <mergeCell ref="D28:G28"/>
    <mergeCell ref="J28:N28"/>
    <mergeCell ref="E6:I6"/>
    <mergeCell ref="E7:I7"/>
    <mergeCell ref="E8:I8"/>
    <mergeCell ref="E11:I11"/>
    <mergeCell ref="I22:J22"/>
  </mergeCells>
  <phoneticPr fontId="37"/>
  <dataValidations count="1">
    <dataValidation type="list" allowBlank="1" showInputMessage="1" showErrorMessage="1" sqref="H16:H19 E16:E19">
      <formula1>"□,■"</formula1>
    </dataValidation>
  </dataValidations>
  <hyperlinks>
    <hyperlink ref="D28:G28" location="はじめに!A1" display="個人情報を修正する方はこちら"/>
    <hyperlink ref="J28:N28" location="'市民税・県民税申告書（印刷）'!A1" display="こちらから市・県民税申告書を印刷し、署名押印後に提出してください。"/>
  </hyperlink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RowColHeaders="0" topLeftCell="A10" zoomScaleNormal="100" workbookViewId="0">
      <selection activeCell="G27" sqref="G27"/>
    </sheetView>
  </sheetViews>
  <sheetFormatPr defaultColWidth="0" defaultRowHeight="15.95" customHeight="1" zeroHeight="1"/>
  <cols>
    <col min="1" max="1" width="9" style="9" customWidth="1"/>
    <col min="2" max="2" width="6.25" style="9" customWidth="1"/>
    <col min="3" max="3" width="9" style="9" customWidth="1"/>
    <col min="4" max="15" width="10" style="9" customWidth="1"/>
    <col min="16" max="18" width="9" style="9" customWidth="1"/>
    <col min="19" max="16384" width="9" style="9" hidden="1"/>
  </cols>
  <sheetData>
    <row r="1" spans="1:18" s="328" customFormat="1" ht="15.95" customHeight="1">
      <c r="A1" s="313"/>
      <c r="B1" s="314" t="s">
        <v>199</v>
      </c>
      <c r="C1" s="327" t="s">
        <v>555</v>
      </c>
      <c r="D1" s="313"/>
      <c r="E1" s="313"/>
      <c r="F1" s="313"/>
      <c r="G1" s="313"/>
      <c r="H1" s="313"/>
      <c r="I1" s="313"/>
      <c r="J1" s="313"/>
      <c r="K1" s="313"/>
      <c r="L1" s="313"/>
      <c r="M1" s="313"/>
      <c r="N1" s="313"/>
      <c r="O1" s="313"/>
      <c r="P1" s="313"/>
      <c r="Q1" s="313"/>
      <c r="R1" s="313"/>
    </row>
    <row r="2" spans="1:18" s="295" customFormat="1" ht="15.95" customHeight="1">
      <c r="A2" s="293"/>
      <c r="B2" s="329" t="s">
        <v>379</v>
      </c>
      <c r="C2" s="330" t="s">
        <v>554</v>
      </c>
      <c r="D2" s="293"/>
      <c r="E2" s="293"/>
      <c r="F2" s="293"/>
      <c r="G2" s="293"/>
      <c r="H2" s="293"/>
      <c r="I2" s="293"/>
      <c r="J2" s="293"/>
      <c r="K2" s="293"/>
      <c r="L2" s="293"/>
      <c r="M2" s="293"/>
      <c r="N2" s="293"/>
      <c r="O2" s="293"/>
      <c r="P2" s="293"/>
      <c r="Q2" s="293"/>
      <c r="R2" s="293"/>
    </row>
    <row r="3" spans="1:18" s="295" customFormat="1" ht="15.95" customHeight="1">
      <c r="A3" s="293"/>
      <c r="B3" s="329"/>
      <c r="C3" s="330" t="s">
        <v>611</v>
      </c>
      <c r="D3" s="293"/>
      <c r="E3" s="293"/>
      <c r="F3" s="293"/>
      <c r="G3" s="293"/>
      <c r="H3" s="293"/>
      <c r="I3" s="293"/>
      <c r="J3" s="293"/>
      <c r="K3" s="293"/>
      <c r="L3" s="293"/>
      <c r="M3" s="293"/>
      <c r="N3" s="293"/>
      <c r="O3" s="293"/>
      <c r="P3" s="293"/>
      <c r="Q3" s="293"/>
      <c r="R3" s="293"/>
    </row>
    <row r="4" spans="1:18" s="295" customFormat="1" ht="15.95" customHeight="1">
      <c r="A4" s="293"/>
      <c r="B4" s="329"/>
      <c r="C4" s="330"/>
      <c r="D4" s="293"/>
      <c r="E4" s="293"/>
      <c r="F4" s="293"/>
      <c r="G4" s="293"/>
      <c r="H4" s="293"/>
      <c r="I4" s="293"/>
      <c r="J4" s="293"/>
      <c r="K4" s="293"/>
      <c r="L4" s="293"/>
      <c r="M4" s="293"/>
      <c r="N4" s="293"/>
      <c r="O4" s="293"/>
      <c r="P4" s="293"/>
      <c r="Q4" s="293"/>
      <c r="R4" s="293"/>
    </row>
    <row r="5" spans="1:18" s="295" customFormat="1" ht="15.95" customHeight="1">
      <c r="A5" s="293"/>
      <c r="B5" s="329"/>
      <c r="C5" s="331" t="s">
        <v>389</v>
      </c>
      <c r="D5" s="293"/>
      <c r="E5" s="293"/>
      <c r="F5" s="293"/>
      <c r="G5" s="332" t="s">
        <v>390</v>
      </c>
      <c r="H5" s="293"/>
      <c r="I5" s="293"/>
      <c r="J5" s="293"/>
      <c r="K5" s="293"/>
      <c r="L5" s="293"/>
      <c r="M5" s="293"/>
      <c r="N5" s="293"/>
      <c r="O5" s="293"/>
      <c r="P5" s="293"/>
      <c r="Q5" s="293"/>
      <c r="R5" s="293"/>
    </row>
    <row r="6" spans="1:18" s="295" customFormat="1" ht="15.95" customHeight="1">
      <c r="A6" s="293"/>
      <c r="B6" s="329"/>
      <c r="C6" s="333"/>
      <c r="D6" s="897" t="s">
        <v>380</v>
      </c>
      <c r="E6" s="898"/>
      <c r="F6" s="334"/>
      <c r="G6" s="333"/>
      <c r="H6" s="894" t="s">
        <v>380</v>
      </c>
      <c r="I6" s="894"/>
      <c r="J6" s="334"/>
      <c r="K6" s="293"/>
      <c r="L6" s="293"/>
      <c r="M6" s="293"/>
      <c r="N6" s="293"/>
      <c r="O6" s="293"/>
      <c r="P6" s="293"/>
      <c r="Q6" s="293"/>
      <c r="R6" s="293"/>
    </row>
    <row r="7" spans="1:18" s="295" customFormat="1" ht="15.95" customHeight="1">
      <c r="A7" s="293"/>
      <c r="B7" s="329"/>
      <c r="C7" s="318">
        <v>1</v>
      </c>
      <c r="D7" s="892"/>
      <c r="E7" s="893"/>
      <c r="F7" s="293" t="s">
        <v>386</v>
      </c>
      <c r="G7" s="318">
        <v>1</v>
      </c>
      <c r="H7" s="895"/>
      <c r="I7" s="895"/>
      <c r="J7" s="335"/>
      <c r="K7" s="293"/>
      <c r="L7" s="293"/>
      <c r="M7" s="293"/>
      <c r="N7" s="293"/>
      <c r="O7" s="293"/>
      <c r="P7" s="293"/>
      <c r="Q7" s="293"/>
      <c r="R7" s="293"/>
    </row>
    <row r="8" spans="1:18" s="295" customFormat="1" ht="15.95" customHeight="1">
      <c r="A8" s="293"/>
      <c r="B8" s="293"/>
      <c r="C8" s="336">
        <v>2</v>
      </c>
      <c r="D8" s="892"/>
      <c r="E8" s="893"/>
      <c r="F8" s="293"/>
      <c r="G8" s="337"/>
      <c r="H8" s="896"/>
      <c r="I8" s="896"/>
      <c r="J8" s="335"/>
      <c r="K8" s="293"/>
      <c r="L8" s="293"/>
      <c r="M8" s="293"/>
      <c r="N8" s="293"/>
      <c r="O8" s="293"/>
      <c r="P8" s="293"/>
      <c r="Q8" s="293"/>
      <c r="R8" s="293"/>
    </row>
    <row r="9" spans="1:18" s="295" customFormat="1" ht="15.95" customHeight="1">
      <c r="A9" s="293"/>
      <c r="B9" s="293"/>
      <c r="C9" s="336">
        <v>3</v>
      </c>
      <c r="D9" s="892"/>
      <c r="E9" s="893"/>
      <c r="F9" s="293"/>
      <c r="G9" s="337"/>
      <c r="H9" s="896"/>
      <c r="I9" s="896"/>
      <c r="J9" s="335"/>
      <c r="K9" s="293"/>
      <c r="L9" s="293"/>
      <c r="M9" s="293"/>
      <c r="N9" s="293"/>
      <c r="O9" s="293"/>
      <c r="P9" s="293"/>
      <c r="Q9" s="293"/>
      <c r="R9" s="293"/>
    </row>
    <row r="10" spans="1:18" s="295" customFormat="1" ht="15.95" customHeight="1">
      <c r="A10" s="293"/>
      <c r="B10" s="293"/>
      <c r="C10" s="336">
        <v>4</v>
      </c>
      <c r="D10" s="892"/>
      <c r="E10" s="893"/>
      <c r="F10" s="293"/>
      <c r="G10" s="332" t="s">
        <v>391</v>
      </c>
      <c r="H10" s="293"/>
      <c r="I10" s="293"/>
      <c r="J10" s="335"/>
      <c r="K10" s="293"/>
      <c r="L10" s="293"/>
      <c r="M10" s="293"/>
      <c r="N10" s="293"/>
      <c r="O10" s="293"/>
      <c r="P10" s="293"/>
      <c r="Q10" s="293"/>
      <c r="R10" s="293"/>
    </row>
    <row r="11" spans="1:18" s="295" customFormat="1" ht="15.95" customHeight="1">
      <c r="A11" s="293"/>
      <c r="B11" s="293"/>
      <c r="C11" s="336">
        <v>5</v>
      </c>
      <c r="D11" s="892"/>
      <c r="E11" s="893"/>
      <c r="F11" s="293"/>
      <c r="G11" s="333"/>
      <c r="H11" s="894" t="s">
        <v>380</v>
      </c>
      <c r="I11" s="894"/>
      <c r="J11" s="335"/>
      <c r="K11" s="293"/>
      <c r="L11" s="293"/>
      <c r="M11" s="293"/>
      <c r="N11" s="293"/>
      <c r="O11" s="293"/>
      <c r="P11" s="293"/>
      <c r="Q11" s="293"/>
      <c r="R11" s="293"/>
    </row>
    <row r="12" spans="1:18" s="295" customFormat="1" ht="15.95" customHeight="1">
      <c r="A12" s="293"/>
      <c r="B12" s="293"/>
      <c r="C12" s="318" t="s">
        <v>381</v>
      </c>
      <c r="D12" s="899">
        <f>SUM(D7:D11)</f>
        <v>0</v>
      </c>
      <c r="E12" s="900"/>
      <c r="F12" s="293" t="s">
        <v>386</v>
      </c>
      <c r="G12" s="318">
        <v>1</v>
      </c>
      <c r="H12" s="895"/>
      <c r="I12" s="895"/>
      <c r="J12" s="335"/>
      <c r="K12" s="293"/>
      <c r="L12" s="293"/>
      <c r="M12" s="293"/>
      <c r="N12" s="293"/>
      <c r="O12" s="293"/>
      <c r="P12" s="293"/>
      <c r="Q12" s="293"/>
      <c r="R12" s="293"/>
    </row>
    <row r="13" spans="1:18" s="295" customFormat="1" ht="15.95" customHeight="1">
      <c r="A13" s="293"/>
      <c r="B13" s="293"/>
      <c r="C13" s="293"/>
      <c r="D13" s="293"/>
      <c r="E13" s="293"/>
      <c r="F13" s="293"/>
      <c r="G13" s="337"/>
      <c r="H13" s="335"/>
      <c r="I13" s="335"/>
      <c r="J13" s="293"/>
      <c r="K13" s="293"/>
      <c r="L13" s="293"/>
      <c r="M13" s="293"/>
      <c r="N13" s="293"/>
      <c r="O13" s="293"/>
      <c r="P13" s="293"/>
      <c r="Q13" s="293"/>
      <c r="R13" s="293"/>
    </row>
    <row r="14" spans="1:18" s="295" customFormat="1" ht="15.95" customHeight="1">
      <c r="A14" s="293"/>
      <c r="B14" s="293"/>
      <c r="C14" s="293"/>
      <c r="D14" s="293"/>
      <c r="E14" s="320"/>
      <c r="F14" s="293"/>
      <c r="G14" s="337"/>
      <c r="H14" s="338"/>
      <c r="I14" s="338"/>
      <c r="J14" s="293"/>
      <c r="K14" s="293"/>
      <c r="L14" s="293"/>
      <c r="M14" s="293"/>
      <c r="N14" s="293"/>
      <c r="O14" s="293"/>
      <c r="P14" s="293"/>
      <c r="Q14" s="293"/>
      <c r="R14" s="293"/>
    </row>
    <row r="15" spans="1:18" s="295" customFormat="1" ht="15.95" customHeight="1">
      <c r="A15" s="293"/>
      <c r="B15" s="329" t="s">
        <v>382</v>
      </c>
      <c r="C15" s="293" t="s">
        <v>1479</v>
      </c>
      <c r="D15" s="293"/>
      <c r="E15" s="293"/>
      <c r="F15" s="293"/>
      <c r="G15" s="293"/>
      <c r="H15" s="293"/>
      <c r="I15" s="293"/>
      <c r="J15" s="293"/>
      <c r="K15" s="293"/>
      <c r="L15" s="293"/>
      <c r="M15" s="293"/>
      <c r="N15" s="293"/>
      <c r="O15" s="293"/>
      <c r="P15" s="293"/>
      <c r="Q15" s="293"/>
      <c r="R15" s="293"/>
    </row>
    <row r="16" spans="1:18" s="340" customFormat="1" ht="15.95" customHeight="1">
      <c r="A16" s="293"/>
      <c r="B16" s="293"/>
      <c r="C16" s="339" t="s">
        <v>383</v>
      </c>
      <c r="D16" s="889"/>
      <c r="E16" s="889"/>
      <c r="F16" s="889"/>
      <c r="G16" s="339" t="s">
        <v>384</v>
      </c>
      <c r="H16" s="889"/>
      <c r="I16" s="889"/>
      <c r="J16" s="889"/>
      <c r="K16" s="889"/>
      <c r="L16" s="902" t="s">
        <v>385</v>
      </c>
      <c r="M16" s="902"/>
      <c r="N16" s="889"/>
      <c r="O16" s="901"/>
      <c r="P16" s="316"/>
      <c r="Q16" s="293"/>
      <c r="R16" s="293"/>
    </row>
    <row r="17" spans="1:18" s="295" customFormat="1" ht="15.95" customHeight="1">
      <c r="A17" s="293"/>
      <c r="B17" s="293"/>
      <c r="C17" s="318" t="s">
        <v>388</v>
      </c>
      <c r="D17" s="318" t="s">
        <v>558</v>
      </c>
      <c r="E17" s="318" t="s">
        <v>559</v>
      </c>
      <c r="F17" s="318" t="s">
        <v>560</v>
      </c>
      <c r="G17" s="318" t="s">
        <v>561</v>
      </c>
      <c r="H17" s="318" t="s">
        <v>562</v>
      </c>
      <c r="I17" s="318" t="s">
        <v>563</v>
      </c>
      <c r="J17" s="318" t="s">
        <v>564</v>
      </c>
      <c r="K17" s="318" t="s">
        <v>565</v>
      </c>
      <c r="L17" s="318" t="s">
        <v>566</v>
      </c>
      <c r="M17" s="318" t="s">
        <v>567</v>
      </c>
      <c r="N17" s="318" t="s">
        <v>568</v>
      </c>
      <c r="O17" s="318" t="s">
        <v>569</v>
      </c>
      <c r="P17" s="333" t="s">
        <v>496</v>
      </c>
      <c r="Q17" s="318" t="s">
        <v>381</v>
      </c>
      <c r="R17" s="293"/>
    </row>
    <row r="18" spans="1:18" s="295" customFormat="1" ht="15.95" customHeight="1">
      <c r="A18" s="293"/>
      <c r="B18" s="293"/>
      <c r="C18" s="318" t="s">
        <v>387</v>
      </c>
      <c r="D18" s="625"/>
      <c r="E18" s="625"/>
      <c r="F18" s="625"/>
      <c r="G18" s="625"/>
      <c r="H18" s="625"/>
      <c r="I18" s="625"/>
      <c r="J18" s="625"/>
      <c r="K18" s="625"/>
      <c r="L18" s="625"/>
      <c r="M18" s="625"/>
      <c r="N18" s="625"/>
      <c r="O18" s="625"/>
      <c r="P18" s="625"/>
      <c r="Q18" s="341">
        <f>SUM(D18:P18)</f>
        <v>0</v>
      </c>
      <c r="R18" s="293"/>
    </row>
    <row r="19" spans="1:18" s="295" customFormat="1" ht="15.95" customHeight="1">
      <c r="A19" s="293"/>
      <c r="B19" s="293"/>
      <c r="C19" s="342"/>
      <c r="D19" s="343"/>
      <c r="E19" s="343"/>
      <c r="F19" s="343"/>
      <c r="G19" s="343"/>
      <c r="H19" s="343"/>
      <c r="I19" s="343"/>
      <c r="J19" s="343"/>
      <c r="K19" s="343"/>
      <c r="L19" s="343"/>
      <c r="M19" s="343"/>
      <c r="N19" s="343"/>
      <c r="O19" s="343"/>
      <c r="P19" s="343"/>
      <c r="Q19" s="293"/>
      <c r="R19" s="293"/>
    </row>
    <row r="20" spans="1:18" s="295" customFormat="1" ht="15.95" customHeight="1">
      <c r="A20" s="293"/>
      <c r="B20" s="344" t="str">
        <f>計算用資料!D21</f>
        <v/>
      </c>
      <c r="C20" s="345" t="str">
        <f>計算用資料!E21</f>
        <v/>
      </c>
      <c r="D20" s="343"/>
      <c r="E20" s="343"/>
      <c r="F20" s="343"/>
      <c r="G20" s="343"/>
      <c r="H20" s="343"/>
      <c r="I20" s="343"/>
      <c r="J20" s="343"/>
      <c r="K20" s="343"/>
      <c r="L20" s="343"/>
      <c r="M20" s="343"/>
      <c r="N20" s="343"/>
      <c r="O20" s="343"/>
      <c r="P20" s="343"/>
      <c r="Q20" s="293"/>
      <c r="R20" s="293"/>
    </row>
    <row r="21" spans="1:18" s="295" customFormat="1" ht="15.95" customHeight="1">
      <c r="A21" s="293"/>
      <c r="B21" s="293"/>
      <c r="C21" s="293" t="str">
        <f>計算用資料!F21</f>
        <v/>
      </c>
      <c r="D21" s="293"/>
      <c r="E21" s="293"/>
      <c r="F21" s="293"/>
      <c r="G21" s="293"/>
      <c r="H21" s="293"/>
      <c r="I21" s="293"/>
      <c r="J21" s="293"/>
      <c r="K21" s="293"/>
      <c r="L21" s="293"/>
      <c r="M21" s="293"/>
      <c r="N21" s="293"/>
      <c r="O21" s="293"/>
      <c r="P21" s="293"/>
      <c r="Q21" s="293"/>
      <c r="R21" s="293"/>
    </row>
    <row r="22" spans="1:18" s="295" customFormat="1" ht="15.95" customHeight="1">
      <c r="A22" s="293"/>
      <c r="B22" s="293"/>
      <c r="C22" s="626" t="s">
        <v>18</v>
      </c>
      <c r="D22" s="293" t="str">
        <f>計算用資料!G21</f>
        <v/>
      </c>
      <c r="E22" s="293"/>
      <c r="F22" s="293"/>
      <c r="G22" s="293"/>
      <c r="H22" s="293"/>
      <c r="I22" s="293"/>
      <c r="J22" s="293"/>
      <c r="K22" s="293"/>
      <c r="L22" s="293"/>
      <c r="M22" s="293"/>
      <c r="N22" s="293"/>
      <c r="O22" s="293"/>
      <c r="P22" s="293"/>
      <c r="Q22" s="293"/>
      <c r="R22" s="293"/>
    </row>
    <row r="23" spans="1:18" s="328" customFormat="1" ht="15.95" customHeight="1">
      <c r="A23" s="313"/>
      <c r="B23" s="314" t="s">
        <v>392</v>
      </c>
      <c r="C23" s="327" t="s">
        <v>556</v>
      </c>
      <c r="D23" s="313"/>
      <c r="E23" s="313"/>
      <c r="F23" s="313"/>
      <c r="G23" s="313"/>
      <c r="H23" s="313"/>
      <c r="I23" s="313"/>
      <c r="J23" s="313"/>
      <c r="K23" s="313"/>
      <c r="L23" s="313"/>
      <c r="M23" s="313"/>
      <c r="N23" s="313"/>
      <c r="O23" s="313"/>
      <c r="P23" s="313"/>
      <c r="Q23" s="313"/>
      <c r="R23" s="313"/>
    </row>
    <row r="24" spans="1:18" s="295" customFormat="1" ht="15.95" customHeight="1">
      <c r="A24" s="293"/>
      <c r="B24" s="329" t="s">
        <v>393</v>
      </c>
      <c r="C24" s="293" t="s">
        <v>557</v>
      </c>
      <c r="D24" s="293"/>
      <c r="E24" s="293"/>
      <c r="F24" s="293"/>
      <c r="G24" s="293"/>
      <c r="H24" s="293"/>
      <c r="I24" s="293"/>
      <c r="J24" s="293"/>
      <c r="K24" s="293"/>
      <c r="L24" s="293"/>
      <c r="M24" s="293"/>
      <c r="N24" s="293"/>
      <c r="O24" s="293"/>
      <c r="P24" s="293"/>
      <c r="Q24" s="293"/>
      <c r="R24" s="293"/>
    </row>
    <row r="25" spans="1:18" s="295" customFormat="1" ht="15.95" customHeight="1">
      <c r="A25" s="293"/>
      <c r="B25" s="329"/>
      <c r="C25" s="293" t="s">
        <v>1208</v>
      </c>
      <c r="D25" s="293"/>
      <c r="E25" s="293"/>
      <c r="F25" s="293"/>
      <c r="G25" s="293"/>
      <c r="H25" s="293"/>
      <c r="I25" s="293"/>
      <c r="J25" s="293"/>
      <c r="K25" s="293"/>
      <c r="L25" s="293"/>
      <c r="M25" s="293"/>
      <c r="N25" s="293"/>
      <c r="O25" s="293"/>
      <c r="P25" s="293"/>
      <c r="Q25" s="293"/>
      <c r="R25" s="293"/>
    </row>
    <row r="26" spans="1:18" s="295" customFormat="1" ht="15.95" customHeight="1">
      <c r="A26" s="293"/>
      <c r="B26" s="293"/>
      <c r="C26" s="333"/>
      <c r="D26" s="897" t="s">
        <v>380</v>
      </c>
      <c r="E26" s="898"/>
      <c r="F26" s="334"/>
      <c r="G26" s="293"/>
      <c r="H26" s="293"/>
      <c r="I26" s="293"/>
      <c r="J26" s="293"/>
      <c r="K26" s="293"/>
      <c r="L26" s="293"/>
      <c r="M26" s="293"/>
      <c r="N26" s="293"/>
      <c r="O26" s="293"/>
      <c r="P26" s="293"/>
      <c r="Q26" s="293"/>
      <c r="R26" s="293"/>
    </row>
    <row r="27" spans="1:18" s="295" customFormat="1" ht="15.95" customHeight="1">
      <c r="A27" s="293"/>
      <c r="B27" s="293"/>
      <c r="C27" s="318">
        <v>1</v>
      </c>
      <c r="D27" s="892"/>
      <c r="E27" s="893"/>
      <c r="F27" s="293" t="s">
        <v>386</v>
      </c>
      <c r="G27" s="626"/>
      <c r="H27" s="332"/>
      <c r="I27" s="293"/>
      <c r="J27" s="293"/>
      <c r="K27" s="293"/>
      <c r="L27" s="293"/>
      <c r="M27" s="293"/>
      <c r="N27" s="293"/>
      <c r="O27" s="293"/>
      <c r="P27" s="293"/>
      <c r="Q27" s="293"/>
      <c r="R27" s="293"/>
    </row>
    <row r="28" spans="1:18" s="295" customFormat="1" ht="15.95" customHeight="1">
      <c r="A28" s="293"/>
      <c r="B28" s="293"/>
      <c r="C28" s="336">
        <v>2</v>
      </c>
      <c r="D28" s="892"/>
      <c r="E28" s="893"/>
      <c r="F28" s="293"/>
      <c r="G28" s="293"/>
      <c r="H28" s="332"/>
      <c r="I28" s="293"/>
      <c r="J28" s="293"/>
      <c r="K28" s="293"/>
      <c r="L28" s="293"/>
      <c r="M28" s="293"/>
      <c r="N28" s="293"/>
      <c r="O28" s="293"/>
      <c r="P28" s="293"/>
      <c r="Q28" s="293"/>
      <c r="R28" s="293"/>
    </row>
    <row r="29" spans="1:18" s="295" customFormat="1" ht="15.95" customHeight="1">
      <c r="A29" s="293"/>
      <c r="B29" s="293"/>
      <c r="C29" s="336">
        <v>3</v>
      </c>
      <c r="D29" s="892"/>
      <c r="E29" s="893"/>
      <c r="F29" s="293"/>
      <c r="G29" s="293"/>
      <c r="H29" s="293"/>
      <c r="I29" s="293"/>
      <c r="J29" s="293"/>
      <c r="K29" s="293"/>
      <c r="L29" s="293"/>
      <c r="M29" s="293"/>
      <c r="N29" s="293"/>
      <c r="O29" s="293"/>
      <c r="P29" s="293"/>
      <c r="Q29" s="293"/>
      <c r="R29" s="293"/>
    </row>
    <row r="30" spans="1:18" s="295" customFormat="1" ht="15.95" customHeight="1">
      <c r="A30" s="293"/>
      <c r="B30" s="293"/>
      <c r="C30" s="318" t="s">
        <v>381</v>
      </c>
      <c r="D30" s="899">
        <f>SUM(D27:D29)</f>
        <v>0</v>
      </c>
      <c r="E30" s="900"/>
      <c r="F30" s="293" t="s">
        <v>386</v>
      </c>
      <c r="G30" s="293"/>
      <c r="H30" s="293"/>
      <c r="I30" s="293"/>
      <c r="J30" s="293"/>
      <c r="K30" s="293"/>
      <c r="L30" s="293"/>
      <c r="M30" s="293"/>
      <c r="N30" s="293"/>
      <c r="O30" s="293"/>
      <c r="P30" s="293"/>
      <c r="Q30" s="293"/>
      <c r="R30" s="293"/>
    </row>
    <row r="31" spans="1:18" s="295" customFormat="1" ht="15.95" customHeight="1">
      <c r="A31" s="293"/>
      <c r="B31" s="293"/>
      <c r="C31" s="293"/>
      <c r="D31" s="293"/>
      <c r="E31" s="293"/>
      <c r="F31" s="293"/>
      <c r="G31" s="293"/>
      <c r="H31" s="293"/>
      <c r="I31" s="293"/>
      <c r="J31" s="293"/>
      <c r="K31" s="293"/>
      <c r="L31" s="293"/>
      <c r="M31" s="293"/>
      <c r="N31" s="293"/>
      <c r="O31" s="293"/>
      <c r="P31" s="293"/>
      <c r="Q31" s="293"/>
      <c r="R31" s="293"/>
    </row>
    <row r="32" spans="1:18" s="307" customFormat="1" ht="15.95" customHeight="1">
      <c r="A32" s="305"/>
      <c r="B32" s="305" t="s">
        <v>1215</v>
      </c>
      <c r="C32" s="305"/>
      <c r="D32" s="305"/>
      <c r="E32" s="305"/>
      <c r="F32" s="305"/>
      <c r="G32" s="305"/>
      <c r="H32" s="305"/>
      <c r="I32" s="305"/>
      <c r="J32" s="305"/>
      <c r="K32" s="305"/>
      <c r="L32" s="305" t="s">
        <v>299</v>
      </c>
      <c r="M32" s="305"/>
      <c r="N32" s="305"/>
      <c r="O32" s="305"/>
      <c r="P32" s="305"/>
      <c r="Q32" s="305"/>
      <c r="R32" s="305"/>
    </row>
    <row r="33" spans="1:18" s="307" customFormat="1" ht="15.95" customHeight="1">
      <c r="A33" s="305"/>
      <c r="B33" s="308" t="s">
        <v>307</v>
      </c>
      <c r="C33" s="885" t="s">
        <v>1217</v>
      </c>
      <c r="D33" s="885"/>
      <c r="E33" s="885"/>
      <c r="F33" s="885"/>
      <c r="G33" s="305"/>
      <c r="H33" s="305"/>
      <c r="I33" s="305"/>
      <c r="J33" s="305"/>
      <c r="K33" s="305"/>
      <c r="L33" s="308" t="s">
        <v>297</v>
      </c>
      <c r="M33" s="885" t="s">
        <v>709</v>
      </c>
      <c r="N33" s="885"/>
      <c r="O33" s="885"/>
      <c r="P33" s="885"/>
      <c r="Q33" s="305"/>
      <c r="R33" s="305"/>
    </row>
    <row r="34" spans="1:18" s="307" customFormat="1" ht="15.95" customHeight="1">
      <c r="A34" s="305"/>
      <c r="B34" s="308"/>
      <c r="C34" s="346"/>
      <c r="D34" s="346"/>
      <c r="E34" s="346"/>
      <c r="F34" s="346"/>
      <c r="G34" s="305"/>
      <c r="H34" s="305"/>
      <c r="I34" s="305"/>
      <c r="J34" s="305"/>
      <c r="K34" s="305"/>
      <c r="L34" s="308" t="s">
        <v>297</v>
      </c>
      <c r="M34" s="346" t="s">
        <v>710</v>
      </c>
      <c r="N34" s="346"/>
      <c r="O34" s="346"/>
      <c r="P34" s="346"/>
      <c r="Q34" s="347"/>
      <c r="R34" s="305"/>
    </row>
    <row r="35" spans="1:18" s="307" customFormat="1" ht="15.95" customHeight="1">
      <c r="A35" s="305"/>
      <c r="B35" s="305"/>
      <c r="C35" s="305"/>
      <c r="D35" s="305"/>
      <c r="E35" s="305"/>
      <c r="F35" s="305"/>
      <c r="G35" s="305"/>
      <c r="H35" s="305"/>
      <c r="I35" s="305"/>
      <c r="J35" s="305"/>
      <c r="K35" s="305"/>
      <c r="L35" s="308" t="s">
        <v>303</v>
      </c>
      <c r="M35" s="885" t="s">
        <v>300</v>
      </c>
      <c r="N35" s="885"/>
      <c r="O35" s="885"/>
      <c r="P35" s="885"/>
      <c r="Q35" s="305"/>
      <c r="R35" s="305"/>
    </row>
    <row r="36" spans="1:18" s="312" customFormat="1" ht="15.95" hidden="1" customHeight="1">
      <c r="A36" s="310"/>
      <c r="B36" s="310"/>
      <c r="C36" s="310"/>
      <c r="D36" s="310"/>
      <c r="E36" s="310"/>
      <c r="F36" s="310"/>
      <c r="G36" s="310"/>
      <c r="H36" s="310"/>
      <c r="I36" s="310"/>
      <c r="J36" s="310"/>
      <c r="K36" s="310"/>
      <c r="L36" s="310"/>
      <c r="M36" s="310"/>
      <c r="N36" s="310"/>
      <c r="O36" s="310"/>
      <c r="P36" s="310"/>
      <c r="Q36" s="310"/>
      <c r="R36" s="310"/>
    </row>
    <row r="37" spans="1:18" s="886" customFormat="1" ht="15.95" customHeight="1">
      <c r="A37" s="886" t="s">
        <v>952</v>
      </c>
    </row>
    <row r="38" spans="1:18" ht="15.95" hidden="1" customHeight="1">
      <c r="A38" s="183"/>
      <c r="B38" s="183"/>
      <c r="C38" s="183"/>
      <c r="D38" s="183"/>
      <c r="E38" s="183"/>
      <c r="F38" s="183"/>
      <c r="G38" s="183"/>
      <c r="H38" s="183"/>
      <c r="I38" s="183"/>
      <c r="J38" s="183"/>
      <c r="K38" s="183"/>
      <c r="L38" s="183"/>
      <c r="M38" s="183"/>
      <c r="N38" s="183"/>
      <c r="O38" s="183"/>
      <c r="P38" s="183"/>
      <c r="Q38" s="183"/>
      <c r="R38" s="183"/>
    </row>
    <row r="39" spans="1:18" ht="15.95" hidden="1" customHeight="1">
      <c r="A39" s="183"/>
      <c r="B39" s="183"/>
      <c r="C39" s="183"/>
      <c r="D39" s="183"/>
      <c r="E39" s="183"/>
      <c r="F39" s="183"/>
      <c r="G39" s="183"/>
      <c r="H39" s="183"/>
      <c r="I39" s="183"/>
      <c r="J39" s="183"/>
      <c r="K39" s="183"/>
      <c r="L39" s="183"/>
      <c r="M39" s="183"/>
      <c r="N39" s="183"/>
      <c r="O39" s="183"/>
      <c r="P39" s="183"/>
      <c r="Q39" s="183"/>
      <c r="R39" s="183"/>
    </row>
    <row r="40" spans="1:18" ht="15.95" hidden="1" customHeight="1">
      <c r="A40" s="183"/>
      <c r="B40" s="183"/>
      <c r="C40" s="183"/>
      <c r="D40" s="183"/>
      <c r="E40" s="183"/>
      <c r="F40" s="183"/>
      <c r="G40" s="183"/>
      <c r="H40" s="183"/>
      <c r="I40" s="183"/>
      <c r="J40" s="183"/>
      <c r="K40" s="183"/>
      <c r="L40" s="183"/>
      <c r="M40" s="183"/>
      <c r="N40" s="183"/>
      <c r="O40" s="183"/>
      <c r="P40" s="183"/>
      <c r="Q40" s="183"/>
      <c r="R40" s="183"/>
    </row>
    <row r="41" spans="1:18" ht="15.95" hidden="1" customHeight="1">
      <c r="A41" s="183"/>
      <c r="B41" s="183"/>
      <c r="C41" s="183"/>
      <c r="D41" s="183"/>
      <c r="E41" s="183"/>
      <c r="F41" s="183"/>
      <c r="G41" s="183"/>
      <c r="H41" s="183"/>
      <c r="I41" s="183"/>
      <c r="J41" s="183"/>
      <c r="K41" s="183"/>
      <c r="L41" s="183"/>
      <c r="M41" s="183"/>
      <c r="N41" s="183"/>
      <c r="O41" s="183"/>
      <c r="P41" s="183"/>
      <c r="Q41" s="183"/>
      <c r="R41" s="183"/>
    </row>
    <row r="42" spans="1:18" ht="15.95" hidden="1" customHeight="1">
      <c r="A42" s="183"/>
      <c r="B42" s="183"/>
      <c r="C42" s="183"/>
      <c r="D42" s="183"/>
      <c r="E42" s="183"/>
      <c r="F42" s="183"/>
      <c r="G42" s="183"/>
      <c r="H42" s="183"/>
      <c r="I42" s="183"/>
      <c r="J42" s="183"/>
      <c r="K42" s="183"/>
      <c r="L42" s="183"/>
      <c r="M42" s="183"/>
      <c r="N42" s="183"/>
      <c r="O42" s="183"/>
      <c r="P42" s="183"/>
      <c r="Q42" s="183"/>
      <c r="R42" s="183"/>
    </row>
    <row r="43" spans="1:18" ht="15.95" hidden="1" customHeight="1">
      <c r="A43" s="183"/>
      <c r="B43" s="183"/>
      <c r="C43" s="183"/>
      <c r="D43" s="183"/>
      <c r="E43" s="183"/>
      <c r="F43" s="183"/>
      <c r="G43" s="183"/>
      <c r="H43" s="183"/>
      <c r="I43" s="183"/>
      <c r="J43" s="183"/>
      <c r="K43" s="183"/>
      <c r="L43" s="183"/>
      <c r="M43" s="183"/>
      <c r="N43" s="183"/>
      <c r="O43" s="183"/>
      <c r="P43" s="183"/>
      <c r="Q43" s="183"/>
      <c r="R43" s="183"/>
    </row>
    <row r="44" spans="1:18" ht="15.95" hidden="1" customHeight="1">
      <c r="A44" s="183"/>
      <c r="B44" s="183"/>
      <c r="C44" s="183"/>
      <c r="D44" s="183"/>
      <c r="E44" s="183"/>
      <c r="F44" s="183"/>
      <c r="G44" s="183"/>
      <c r="H44" s="183"/>
      <c r="I44" s="183"/>
      <c r="J44" s="183"/>
      <c r="K44" s="183"/>
      <c r="L44" s="183"/>
      <c r="M44" s="183"/>
      <c r="N44" s="183"/>
      <c r="O44" s="183"/>
      <c r="P44" s="183"/>
      <c r="Q44" s="183"/>
      <c r="R44" s="183"/>
    </row>
    <row r="45" spans="1:18" ht="15.95" hidden="1" customHeight="1"/>
  </sheetData>
  <sheetProtection algorithmName="SHA-512" hashValue="0dFE8q6h3YA26PA4RApfZHU+k+56pSjlofHdTGz1LDvlUHJzwM4MCzzMMYnGQZZ9yr0yT3sWzz0LCGUOW4/MQw==" saltValue="4VPECQlxhQMV0ULdjSHN1A==" spinCount="100000" sheet="1" objects="1" scenarios="1"/>
  <mergeCells count="26">
    <mergeCell ref="A37:XFD37"/>
    <mergeCell ref="H12:I12"/>
    <mergeCell ref="D26:E26"/>
    <mergeCell ref="D27:E27"/>
    <mergeCell ref="D28:E28"/>
    <mergeCell ref="D12:E12"/>
    <mergeCell ref="M35:P35"/>
    <mergeCell ref="M33:P33"/>
    <mergeCell ref="C33:F33"/>
    <mergeCell ref="N16:O16"/>
    <mergeCell ref="H16:K16"/>
    <mergeCell ref="D16:F16"/>
    <mergeCell ref="L16:M16"/>
    <mergeCell ref="D29:E29"/>
    <mergeCell ref="D30:E30"/>
    <mergeCell ref="D11:E11"/>
    <mergeCell ref="H6:I6"/>
    <mergeCell ref="H7:I7"/>
    <mergeCell ref="H8:I8"/>
    <mergeCell ref="H9:I9"/>
    <mergeCell ref="H11:I11"/>
    <mergeCell ref="D6:E6"/>
    <mergeCell ref="D7:E7"/>
    <mergeCell ref="D8:E8"/>
    <mergeCell ref="D9:E9"/>
    <mergeCell ref="D10:E10"/>
  </mergeCells>
  <phoneticPr fontId="37"/>
  <conditionalFormatting sqref="C22">
    <cfRule type="expression" dxfId="39" priority="1">
      <formula>(D12+H7+H12+Q18)&lt;=8500000</formula>
    </cfRule>
    <cfRule type="expression" dxfId="38" priority="2">
      <formula>(D12+H7+H12+Q18)&gt;8500000</formula>
    </cfRule>
  </conditionalFormatting>
  <dataValidations count="3">
    <dataValidation type="list" allowBlank="1" showInputMessage="1" showErrorMessage="1" sqref="C22">
      <formula1>"　,□,■"</formula1>
    </dataValidation>
    <dataValidation type="whole" allowBlank="1" showInputMessage="1" showErrorMessage="1" sqref="D8:E11">
      <formula1>0</formula1>
      <formula2>9999999999</formula2>
    </dataValidation>
    <dataValidation type="whole" allowBlank="1" showInputMessage="1" showErrorMessage="1" errorTitle="整数で入力してください。" error="整数で入力してください。" sqref="D7:E7 H7:I7 H12:I12 D18:P18 D27:E29">
      <formula1>0</formula1>
      <formula2>9999999999</formula2>
    </dataValidation>
  </dataValidations>
  <hyperlinks>
    <hyperlink ref="M33" location="営業等!A1" display="ある方はこちらをクリック。"/>
    <hyperlink ref="M35" location="社会保険・生命・地震保険!A1" display="ない方はこちらをクリック。控除の入力に進みます。"/>
    <hyperlink ref="C33" location="はじめに!A1" display="個人情報の入力に戻る場合はこちら"/>
    <hyperlink ref="M34:Q34" location="一時所得等!A1" display="総合譲渡（短期・長期）・一時所得がある方はこちら"/>
  </hyperlinks>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topLeftCell="A25" zoomScaleNormal="100" workbookViewId="0">
      <selection activeCell="H34" sqref="H34"/>
    </sheetView>
  </sheetViews>
  <sheetFormatPr defaultColWidth="0" defaultRowHeight="15.95" customHeight="1" zeroHeight="1"/>
  <cols>
    <col min="1" max="1" width="4.875" style="30" customWidth="1"/>
    <col min="2" max="2" width="5.25" style="36" customWidth="1"/>
    <col min="3" max="3" width="9" style="32" customWidth="1"/>
    <col min="4" max="4" width="15.25" style="30" customWidth="1"/>
    <col min="5" max="5" width="3.125" style="28" customWidth="1"/>
    <col min="6" max="6" width="2.5" style="31" customWidth="1"/>
    <col min="7" max="7" width="19.875" style="33" customWidth="1"/>
    <col min="8" max="8" width="18" style="30" customWidth="1"/>
    <col min="9" max="9" width="3.375" style="28" customWidth="1"/>
    <col min="10" max="10" width="2.875" style="31" customWidth="1"/>
    <col min="11" max="11" width="14.875" style="28" customWidth="1"/>
    <col min="12" max="12" width="12.25" style="30" customWidth="1"/>
    <col min="13" max="13" width="4.125" style="28" customWidth="1"/>
    <col min="14" max="14" width="9" style="30" customWidth="1"/>
    <col min="15" max="15" width="10.875" style="30" hidden="1" customWidth="1"/>
    <col min="16" max="16384" width="48.25" style="30" hidden="1"/>
  </cols>
  <sheetData>
    <row r="1" spans="1:16" s="238" customFormat="1" ht="15.95" customHeight="1">
      <c r="A1" s="289"/>
      <c r="B1" s="314" t="s">
        <v>744</v>
      </c>
      <c r="C1" s="327" t="s">
        <v>548</v>
      </c>
      <c r="D1" s="289"/>
      <c r="E1" s="315"/>
      <c r="F1" s="348"/>
      <c r="G1" s="349"/>
      <c r="H1" s="289"/>
      <c r="I1" s="315"/>
      <c r="J1" s="348"/>
      <c r="K1" s="315"/>
      <c r="L1" s="289"/>
      <c r="M1" s="315"/>
      <c r="N1" s="289"/>
    </row>
    <row r="2" spans="1:16" s="35" customFormat="1" ht="15.95" customHeight="1">
      <c r="A2" s="355"/>
      <c r="B2" s="356"/>
      <c r="C2" s="365" t="s">
        <v>1138</v>
      </c>
      <c r="D2" s="355"/>
      <c r="E2" s="319"/>
      <c r="F2" s="334"/>
      <c r="G2" s="366"/>
      <c r="H2" s="355"/>
      <c r="I2" s="319"/>
      <c r="J2" s="334"/>
      <c r="K2" s="319"/>
      <c r="L2" s="355"/>
      <c r="M2" s="319"/>
      <c r="N2" s="355"/>
    </row>
    <row r="3" spans="1:16" ht="15.95" customHeight="1">
      <c r="A3" s="320"/>
      <c r="B3" s="329"/>
      <c r="C3" s="318" t="s">
        <v>192</v>
      </c>
      <c r="D3" s="627"/>
      <c r="E3" s="721" t="s">
        <v>184</v>
      </c>
      <c r="F3" s="350"/>
      <c r="G3" s="351" t="s">
        <v>826</v>
      </c>
      <c r="H3" s="628"/>
      <c r="I3" s="721" t="s">
        <v>284</v>
      </c>
      <c r="J3" s="321"/>
      <c r="K3" s="318" t="s">
        <v>193</v>
      </c>
      <c r="L3" s="726">
        <f>D3-H3</f>
        <v>0</v>
      </c>
      <c r="M3" s="721" t="s">
        <v>184</v>
      </c>
      <c r="N3" s="320"/>
    </row>
    <row r="4" spans="1:16" ht="15.95" customHeight="1">
      <c r="A4" s="320"/>
      <c r="B4" s="329"/>
      <c r="C4" s="330"/>
      <c r="D4" s="320"/>
      <c r="E4" s="316"/>
      <c r="F4" s="321"/>
      <c r="G4" s="352"/>
      <c r="H4" s="320"/>
      <c r="I4" s="316"/>
      <c r="J4" s="321"/>
      <c r="K4" s="316"/>
      <c r="L4" s="320"/>
      <c r="M4" s="316"/>
      <c r="N4" s="320"/>
    </row>
    <row r="5" spans="1:16" s="238" customFormat="1" ht="15.95" customHeight="1">
      <c r="A5" s="289"/>
      <c r="B5" s="314" t="s">
        <v>210</v>
      </c>
      <c r="C5" s="327" t="s">
        <v>549</v>
      </c>
      <c r="D5" s="289"/>
      <c r="E5" s="315"/>
      <c r="F5" s="348"/>
      <c r="G5" s="349"/>
      <c r="H5" s="289"/>
      <c r="I5" s="315"/>
      <c r="J5" s="348"/>
      <c r="K5" s="315"/>
      <c r="L5" s="289"/>
      <c r="M5" s="315"/>
      <c r="N5" s="289"/>
    </row>
    <row r="6" spans="1:16" s="35" customFormat="1" ht="15.95" customHeight="1">
      <c r="A6" s="355"/>
      <c r="B6" s="356"/>
      <c r="C6" s="365" t="s">
        <v>1126</v>
      </c>
      <c r="D6" s="355"/>
      <c r="E6" s="319"/>
      <c r="F6" s="334"/>
      <c r="G6" s="366"/>
      <c r="H6" s="355"/>
      <c r="I6" s="319"/>
      <c r="J6" s="334"/>
      <c r="K6" s="319"/>
      <c r="L6" s="355"/>
      <c r="M6" s="319"/>
      <c r="N6" s="355"/>
    </row>
    <row r="7" spans="1:16" ht="15.95" customHeight="1">
      <c r="A7" s="320"/>
      <c r="B7" s="329"/>
      <c r="C7" s="318" t="s">
        <v>192</v>
      </c>
      <c r="D7" s="627"/>
      <c r="E7" s="721" t="s">
        <v>184</v>
      </c>
      <c r="F7" s="350"/>
      <c r="G7" s="351" t="s">
        <v>283</v>
      </c>
      <c r="H7" s="628"/>
      <c r="I7" s="721" t="s">
        <v>284</v>
      </c>
      <c r="J7" s="321"/>
      <c r="K7" s="318" t="s">
        <v>193</v>
      </c>
      <c r="L7" s="726">
        <f>D7-H7</f>
        <v>0</v>
      </c>
      <c r="M7" s="721" t="s">
        <v>184</v>
      </c>
      <c r="N7" s="320"/>
    </row>
    <row r="8" spans="1:16" ht="15.95" customHeight="1">
      <c r="A8" s="320"/>
      <c r="B8" s="329"/>
      <c r="C8" s="330"/>
      <c r="D8" s="320"/>
      <c r="E8" s="316"/>
      <c r="F8" s="321"/>
      <c r="G8" s="352"/>
      <c r="H8" s="320"/>
      <c r="I8" s="316"/>
      <c r="J8" s="321"/>
      <c r="K8" s="316"/>
      <c r="L8" s="320"/>
      <c r="M8" s="316"/>
      <c r="N8" s="320"/>
    </row>
    <row r="9" spans="1:16" s="238" customFormat="1" ht="15.95" customHeight="1">
      <c r="A9" s="289"/>
      <c r="B9" s="314" t="s">
        <v>281</v>
      </c>
      <c r="C9" s="327" t="s">
        <v>550</v>
      </c>
      <c r="D9" s="289"/>
      <c r="E9" s="315"/>
      <c r="F9" s="348"/>
      <c r="G9" s="349"/>
      <c r="H9" s="289"/>
      <c r="I9" s="315"/>
      <c r="J9" s="348"/>
      <c r="K9" s="315"/>
      <c r="L9" s="289"/>
      <c r="M9" s="315"/>
      <c r="N9" s="289"/>
    </row>
    <row r="10" spans="1:16" s="35" customFormat="1" ht="15.95" customHeight="1">
      <c r="A10" s="355"/>
      <c r="B10" s="356"/>
      <c r="C10" s="365" t="s">
        <v>1139</v>
      </c>
      <c r="D10" s="355"/>
      <c r="E10" s="319"/>
      <c r="F10" s="334"/>
      <c r="G10" s="366"/>
      <c r="H10" s="355"/>
      <c r="I10" s="319"/>
      <c r="J10" s="334"/>
      <c r="K10" s="319"/>
      <c r="L10" s="355"/>
      <c r="M10" s="319"/>
      <c r="N10" s="355"/>
    </row>
    <row r="11" spans="1:16" ht="15.95" customHeight="1">
      <c r="A11" s="320"/>
      <c r="B11" s="329"/>
      <c r="C11" s="318" t="s">
        <v>192</v>
      </c>
      <c r="D11" s="627"/>
      <c r="E11" s="721" t="s">
        <v>184</v>
      </c>
      <c r="F11" s="350"/>
      <c r="G11" s="351" t="s">
        <v>283</v>
      </c>
      <c r="H11" s="628"/>
      <c r="I11" s="721" t="s">
        <v>284</v>
      </c>
      <c r="J11" s="321"/>
      <c r="K11" s="318" t="s">
        <v>193</v>
      </c>
      <c r="L11" s="726">
        <f>D11-H11</f>
        <v>0</v>
      </c>
      <c r="M11" s="721" t="s">
        <v>184</v>
      </c>
      <c r="N11" s="320"/>
    </row>
    <row r="12" spans="1:16" ht="15.95" customHeight="1">
      <c r="A12" s="320"/>
      <c r="B12" s="329"/>
      <c r="C12" s="330"/>
      <c r="D12" s="320"/>
      <c r="E12" s="316"/>
      <c r="F12" s="321"/>
      <c r="G12" s="352"/>
      <c r="H12" s="320"/>
      <c r="I12" s="316"/>
      <c r="J12" s="321"/>
      <c r="K12" s="316"/>
      <c r="L12" s="320"/>
      <c r="M12" s="316"/>
      <c r="N12" s="320"/>
    </row>
    <row r="13" spans="1:16" s="238" customFormat="1" ht="15.95" customHeight="1">
      <c r="A13" s="289"/>
      <c r="B13" s="314" t="s">
        <v>282</v>
      </c>
      <c r="C13" s="327" t="s">
        <v>551</v>
      </c>
      <c r="D13" s="289"/>
      <c r="E13" s="315"/>
      <c r="F13" s="348"/>
      <c r="G13" s="349"/>
      <c r="H13" s="289"/>
      <c r="I13" s="315"/>
      <c r="J13" s="348"/>
      <c r="K13" s="315"/>
      <c r="L13" s="289"/>
      <c r="M13" s="315"/>
      <c r="N13" s="289"/>
    </row>
    <row r="14" spans="1:16" s="35" customFormat="1" ht="15.95" customHeight="1">
      <c r="A14" s="355"/>
      <c r="B14" s="356"/>
      <c r="C14" s="365" t="s">
        <v>1124</v>
      </c>
      <c r="D14" s="355"/>
      <c r="E14" s="319"/>
      <c r="F14" s="334"/>
      <c r="G14" s="366"/>
      <c r="H14" s="355"/>
      <c r="I14" s="319"/>
      <c r="J14" s="334"/>
      <c r="K14" s="319"/>
      <c r="L14" s="355"/>
      <c r="M14" s="319"/>
      <c r="N14" s="355"/>
    </row>
    <row r="15" spans="1:16" ht="15.95" customHeight="1">
      <c r="A15" s="320"/>
      <c r="B15" s="329" t="s">
        <v>745</v>
      </c>
      <c r="C15" s="318" t="s">
        <v>192</v>
      </c>
      <c r="D15" s="627"/>
      <c r="E15" s="721" t="s">
        <v>184</v>
      </c>
      <c r="F15" s="353"/>
      <c r="G15" s="354"/>
      <c r="H15" s="321"/>
      <c r="I15" s="321"/>
      <c r="J15" s="321"/>
      <c r="K15" s="318" t="s">
        <v>193</v>
      </c>
      <c r="L15" s="726">
        <f>D15</f>
        <v>0</v>
      </c>
      <c r="M15" s="721" t="s">
        <v>184</v>
      </c>
      <c r="N15" s="320"/>
      <c r="O15" s="17" t="s">
        <v>289</v>
      </c>
      <c r="P15" s="34">
        <f>SUM(D15:D16)</f>
        <v>0</v>
      </c>
    </row>
    <row r="16" spans="1:16" ht="15.95" customHeight="1">
      <c r="A16" s="320"/>
      <c r="B16" s="329" t="s">
        <v>746</v>
      </c>
      <c r="C16" s="318" t="s">
        <v>192</v>
      </c>
      <c r="D16" s="627"/>
      <c r="E16" s="721" t="s">
        <v>184</v>
      </c>
      <c r="F16" s="353"/>
      <c r="G16" s="354"/>
      <c r="H16" s="321"/>
      <c r="I16" s="321"/>
      <c r="J16" s="321"/>
      <c r="K16" s="318" t="s">
        <v>193</v>
      </c>
      <c r="L16" s="726">
        <f>D16</f>
        <v>0</v>
      </c>
      <c r="M16" s="721" t="s">
        <v>184</v>
      </c>
      <c r="N16" s="320"/>
      <c r="O16" s="17" t="s">
        <v>290</v>
      </c>
      <c r="P16" s="34">
        <f>SUM(L15:L16)</f>
        <v>0</v>
      </c>
    </row>
    <row r="17" spans="1:16" s="35" customFormat="1" ht="15.95" customHeight="1">
      <c r="A17" s="355"/>
      <c r="B17" s="356"/>
      <c r="C17" s="342"/>
      <c r="D17" s="357"/>
      <c r="E17" s="342"/>
      <c r="F17" s="334"/>
      <c r="G17" s="344"/>
      <c r="H17" s="334"/>
      <c r="I17" s="334"/>
      <c r="J17" s="334"/>
      <c r="K17" s="342"/>
      <c r="L17" s="357"/>
      <c r="M17" s="342"/>
      <c r="N17" s="355"/>
    </row>
    <row r="18" spans="1:16" s="238" customFormat="1" ht="15.95" customHeight="1">
      <c r="A18" s="289"/>
      <c r="B18" s="314" t="s">
        <v>747</v>
      </c>
      <c r="C18" s="327" t="s">
        <v>1125</v>
      </c>
      <c r="D18" s="289"/>
      <c r="E18" s="315"/>
      <c r="F18" s="348"/>
      <c r="G18" s="349"/>
      <c r="H18" s="289"/>
      <c r="I18" s="315"/>
      <c r="J18" s="348"/>
      <c r="K18" s="315"/>
      <c r="L18" s="289"/>
      <c r="M18" s="315"/>
      <c r="N18" s="289"/>
    </row>
    <row r="19" spans="1:16" ht="15.95" customHeight="1">
      <c r="A19" s="320"/>
      <c r="B19" s="329"/>
      <c r="C19" s="330" t="s">
        <v>1091</v>
      </c>
      <c r="D19" s="320"/>
      <c r="E19" s="316"/>
      <c r="F19" s="321"/>
      <c r="G19" s="352"/>
      <c r="H19" s="320"/>
      <c r="I19" s="316"/>
      <c r="J19" s="321"/>
      <c r="K19" s="316"/>
      <c r="L19" s="320"/>
      <c r="M19" s="316"/>
      <c r="N19" s="320"/>
    </row>
    <row r="20" spans="1:16" ht="15.95" customHeight="1">
      <c r="A20" s="320"/>
      <c r="B20" s="329"/>
      <c r="C20" s="903" t="s">
        <v>1539</v>
      </c>
      <c r="D20" s="903"/>
      <c r="E20" s="903"/>
      <c r="F20" s="903"/>
      <c r="G20" s="903"/>
      <c r="H20" s="903"/>
      <c r="I20" s="903"/>
      <c r="J20" s="903"/>
      <c r="K20" s="903"/>
      <c r="L20" s="903"/>
      <c r="M20" s="903"/>
      <c r="N20" s="903"/>
    </row>
    <row r="21" spans="1:16" ht="15.95" customHeight="1">
      <c r="A21" s="320"/>
      <c r="B21" s="329"/>
      <c r="C21" s="903"/>
      <c r="D21" s="903"/>
      <c r="E21" s="903"/>
      <c r="F21" s="903"/>
      <c r="G21" s="903"/>
      <c r="H21" s="903"/>
      <c r="I21" s="903"/>
      <c r="J21" s="903"/>
      <c r="K21" s="903"/>
      <c r="L21" s="903"/>
      <c r="M21" s="903"/>
      <c r="N21" s="903"/>
    </row>
    <row r="22" spans="1:16" ht="15.95" customHeight="1">
      <c r="A22" s="320"/>
      <c r="B22" s="329" t="s">
        <v>748</v>
      </c>
      <c r="C22" s="318" t="s">
        <v>194</v>
      </c>
      <c r="D22" s="627"/>
      <c r="E22" s="721" t="s">
        <v>184</v>
      </c>
      <c r="F22" s="350"/>
      <c r="G22" s="351" t="s">
        <v>285</v>
      </c>
      <c r="H22" s="628">
        <v>0</v>
      </c>
      <c r="I22" s="721" t="s">
        <v>184</v>
      </c>
      <c r="J22" s="321"/>
      <c r="K22" s="874" t="s">
        <v>193</v>
      </c>
      <c r="L22" s="878">
        <f>D22-H22</f>
        <v>0</v>
      </c>
      <c r="M22" s="873" t="s">
        <v>184</v>
      </c>
      <c r="N22" s="320"/>
      <c r="O22" s="17" t="s">
        <v>289</v>
      </c>
      <c r="P22" s="34">
        <f>SUM(D22,D25,D28,)</f>
        <v>0</v>
      </c>
    </row>
    <row r="23" spans="1:16" ht="15.95" customHeight="1">
      <c r="A23" s="320"/>
      <c r="B23" s="329"/>
      <c r="C23" s="318" t="s">
        <v>286</v>
      </c>
      <c r="D23" s="623"/>
      <c r="E23" s="358"/>
      <c r="F23" s="321"/>
      <c r="G23" s="351" t="s">
        <v>287</v>
      </c>
      <c r="H23" s="623"/>
      <c r="I23" s="358"/>
      <c r="J23" s="321"/>
      <c r="K23" s="875"/>
      <c r="L23" s="849"/>
      <c r="M23" s="875"/>
      <c r="N23" s="320"/>
      <c r="O23" s="17" t="s">
        <v>290</v>
      </c>
      <c r="P23" s="34">
        <f>SUM(L22,L25,L28)</f>
        <v>0</v>
      </c>
    </row>
    <row r="24" spans="1:16" s="35" customFormat="1" ht="15.95" customHeight="1">
      <c r="A24" s="355"/>
      <c r="B24" s="356"/>
      <c r="C24" s="342"/>
      <c r="D24" s="342"/>
      <c r="E24" s="342"/>
      <c r="F24" s="334"/>
      <c r="G24" s="344"/>
      <c r="H24" s="342"/>
      <c r="I24" s="342"/>
      <c r="J24" s="334"/>
      <c r="K24" s="342"/>
      <c r="L24" s="849"/>
      <c r="M24" s="877"/>
      <c r="N24" s="355"/>
      <c r="O24" s="18"/>
      <c r="P24" s="37"/>
    </row>
    <row r="25" spans="1:16" ht="15.95" customHeight="1">
      <c r="A25" s="320"/>
      <c r="B25" s="329" t="s">
        <v>749</v>
      </c>
      <c r="C25" s="318" t="s">
        <v>194</v>
      </c>
      <c r="D25" s="627"/>
      <c r="E25" s="721" t="s">
        <v>184</v>
      </c>
      <c r="F25" s="350"/>
      <c r="G25" s="351" t="s">
        <v>285</v>
      </c>
      <c r="H25" s="628">
        <v>0</v>
      </c>
      <c r="I25" s="721" t="s">
        <v>184</v>
      </c>
      <c r="J25" s="321"/>
      <c r="K25" s="874" t="s">
        <v>193</v>
      </c>
      <c r="L25" s="878">
        <f t="shared" ref="L25:L28" si="0">D25-H25</f>
        <v>0</v>
      </c>
      <c r="M25" s="876" t="s">
        <v>184</v>
      </c>
      <c r="N25" s="320"/>
    </row>
    <row r="26" spans="1:16" ht="15.95" customHeight="1">
      <c r="A26" s="320"/>
      <c r="B26" s="329"/>
      <c r="C26" s="318" t="s">
        <v>286</v>
      </c>
      <c r="D26" s="623"/>
      <c r="E26" s="358"/>
      <c r="F26" s="321"/>
      <c r="G26" s="351" t="s">
        <v>287</v>
      </c>
      <c r="H26" s="623"/>
      <c r="I26" s="358"/>
      <c r="J26" s="321"/>
      <c r="K26" s="875"/>
      <c r="L26" s="849"/>
      <c r="M26" s="875"/>
      <c r="N26" s="320"/>
    </row>
    <row r="27" spans="1:16" s="35" customFormat="1" ht="15.95" customHeight="1">
      <c r="A27" s="355"/>
      <c r="B27" s="356"/>
      <c r="C27" s="342"/>
      <c r="D27" s="342"/>
      <c r="E27" s="342"/>
      <c r="F27" s="334"/>
      <c r="G27" s="344"/>
      <c r="H27" s="342"/>
      <c r="I27" s="342"/>
      <c r="J27" s="334"/>
      <c r="K27" s="342"/>
      <c r="L27" s="849"/>
      <c r="M27" s="342"/>
      <c r="N27" s="355"/>
    </row>
    <row r="28" spans="1:16" ht="15.95" customHeight="1">
      <c r="A28" s="320"/>
      <c r="B28" s="329" t="s">
        <v>750</v>
      </c>
      <c r="C28" s="318" t="s">
        <v>194</v>
      </c>
      <c r="D28" s="627"/>
      <c r="E28" s="721" t="s">
        <v>184</v>
      </c>
      <c r="F28" s="350"/>
      <c r="G28" s="351" t="s">
        <v>285</v>
      </c>
      <c r="H28" s="628">
        <v>0</v>
      </c>
      <c r="I28" s="721" t="s">
        <v>184</v>
      </c>
      <c r="J28" s="321"/>
      <c r="K28" s="874" t="s">
        <v>193</v>
      </c>
      <c r="L28" s="878">
        <f t="shared" si="0"/>
        <v>0</v>
      </c>
      <c r="M28" s="873" t="s">
        <v>184</v>
      </c>
      <c r="N28" s="320"/>
    </row>
    <row r="29" spans="1:16" ht="15.95" customHeight="1">
      <c r="A29" s="320"/>
      <c r="B29" s="329"/>
      <c r="C29" s="318" t="s">
        <v>286</v>
      </c>
      <c r="D29" s="623"/>
      <c r="E29" s="358"/>
      <c r="F29" s="321"/>
      <c r="G29" s="351" t="s">
        <v>287</v>
      </c>
      <c r="H29" s="623"/>
      <c r="I29" s="358"/>
      <c r="J29" s="321"/>
      <c r="K29" s="875"/>
      <c r="L29" s="849"/>
      <c r="M29" s="875"/>
      <c r="N29" s="320"/>
    </row>
    <row r="30" spans="1:16" s="35" customFormat="1" ht="15.95" customHeight="1">
      <c r="A30" s="355"/>
      <c r="B30" s="356"/>
      <c r="C30" s="342"/>
      <c r="D30" s="342"/>
      <c r="E30" s="342"/>
      <c r="F30" s="334"/>
      <c r="G30" s="344"/>
      <c r="H30" s="342"/>
      <c r="I30" s="342"/>
      <c r="J30" s="334"/>
      <c r="K30" s="342"/>
      <c r="L30" s="849"/>
      <c r="M30" s="342"/>
      <c r="N30" s="355"/>
    </row>
    <row r="31" spans="1:16" s="238" customFormat="1" ht="15.95" customHeight="1">
      <c r="A31" s="289"/>
      <c r="B31" s="314" t="s">
        <v>310</v>
      </c>
      <c r="C31" s="327" t="s">
        <v>552</v>
      </c>
      <c r="D31" s="289"/>
      <c r="E31" s="315"/>
      <c r="F31" s="348"/>
      <c r="G31" s="349"/>
      <c r="H31" s="289"/>
      <c r="I31" s="315"/>
      <c r="J31" s="348"/>
      <c r="K31" s="315"/>
      <c r="L31" s="289"/>
      <c r="M31" s="315"/>
      <c r="N31" s="289"/>
    </row>
    <row r="32" spans="1:16" s="35" customFormat="1" ht="15.95" customHeight="1">
      <c r="A32" s="355"/>
      <c r="B32" s="356"/>
      <c r="C32" s="365" t="s">
        <v>1141</v>
      </c>
      <c r="D32" s="355"/>
      <c r="E32" s="319"/>
      <c r="F32" s="334"/>
      <c r="G32" s="366"/>
      <c r="H32" s="355"/>
      <c r="I32" s="319"/>
      <c r="J32" s="334"/>
      <c r="K32" s="319"/>
      <c r="L32" s="355"/>
      <c r="M32" s="319"/>
      <c r="N32" s="355"/>
    </row>
    <row r="33" spans="1:16" ht="15.95" customHeight="1">
      <c r="A33" s="320"/>
      <c r="B33" s="329"/>
      <c r="C33" s="318" t="s">
        <v>288</v>
      </c>
      <c r="D33" s="628"/>
      <c r="E33" s="721" t="s">
        <v>184</v>
      </c>
      <c r="F33" s="350"/>
      <c r="G33" s="351" t="s">
        <v>285</v>
      </c>
      <c r="H33" s="628"/>
      <c r="I33" s="721" t="s">
        <v>184</v>
      </c>
      <c r="J33" s="321"/>
      <c r="K33" s="318" t="s">
        <v>193</v>
      </c>
      <c r="L33" s="727">
        <f>D33-H33</f>
        <v>0</v>
      </c>
      <c r="M33" s="721" t="s">
        <v>184</v>
      </c>
      <c r="N33" s="320"/>
      <c r="O33" s="17" t="s">
        <v>291</v>
      </c>
      <c r="P33" s="34">
        <f>SUM(D33)</f>
        <v>0</v>
      </c>
    </row>
    <row r="34" spans="1:16" ht="15.95" customHeight="1">
      <c r="A34" s="320"/>
      <c r="B34" s="329"/>
      <c r="C34" s="318" t="s">
        <v>286</v>
      </c>
      <c r="D34" s="623"/>
      <c r="E34" s="358"/>
      <c r="F34" s="321"/>
      <c r="G34" s="351" t="s">
        <v>287</v>
      </c>
      <c r="H34" s="623"/>
      <c r="I34" s="358"/>
      <c r="J34" s="321"/>
      <c r="K34" s="322"/>
      <c r="L34" s="321"/>
      <c r="M34" s="322"/>
      <c r="N34" s="320"/>
      <c r="O34" s="17" t="s">
        <v>292</v>
      </c>
      <c r="P34" s="34">
        <f>SUM(L33)</f>
        <v>0</v>
      </c>
    </row>
    <row r="35" spans="1:16" ht="15.95" customHeight="1">
      <c r="A35" s="320"/>
      <c r="B35" s="329"/>
      <c r="C35" s="330"/>
      <c r="D35" s="320"/>
      <c r="E35" s="322"/>
      <c r="F35" s="321"/>
      <c r="G35" s="352"/>
      <c r="H35" s="320"/>
      <c r="I35" s="322"/>
      <c r="J35" s="321"/>
      <c r="K35" s="316"/>
      <c r="L35" s="320"/>
      <c r="M35" s="316"/>
      <c r="N35" s="320"/>
    </row>
    <row r="36" spans="1:16" s="238" customFormat="1" ht="15.95" customHeight="1">
      <c r="A36" s="289"/>
      <c r="B36" s="314" t="s">
        <v>751</v>
      </c>
      <c r="C36" s="327" t="s">
        <v>553</v>
      </c>
      <c r="D36" s="289"/>
      <c r="E36" s="315"/>
      <c r="F36" s="348"/>
      <c r="G36" s="349"/>
      <c r="H36" s="289"/>
      <c r="I36" s="315"/>
      <c r="J36" s="348"/>
      <c r="K36" s="315"/>
      <c r="L36" s="289"/>
      <c r="M36" s="315"/>
      <c r="N36" s="289"/>
    </row>
    <row r="37" spans="1:16" s="35" customFormat="1" ht="15.95" customHeight="1">
      <c r="A37" s="355"/>
      <c r="B37" s="356"/>
      <c r="C37" s="365" t="s">
        <v>1140</v>
      </c>
      <c r="D37" s="355"/>
      <c r="E37" s="319"/>
      <c r="F37" s="334"/>
      <c r="G37" s="366"/>
      <c r="H37" s="355"/>
      <c r="I37" s="319"/>
      <c r="J37" s="334"/>
      <c r="K37" s="319"/>
      <c r="L37" s="355"/>
      <c r="M37" s="319"/>
      <c r="N37" s="355"/>
    </row>
    <row r="38" spans="1:16" ht="15.95" customHeight="1">
      <c r="A38" s="320"/>
      <c r="B38" s="329"/>
      <c r="C38" s="318" t="s">
        <v>288</v>
      </c>
      <c r="D38" s="628"/>
      <c r="E38" s="721" t="s">
        <v>184</v>
      </c>
      <c r="F38" s="350"/>
      <c r="G38" s="351" t="s">
        <v>285</v>
      </c>
      <c r="H38" s="628"/>
      <c r="I38" s="721" t="s">
        <v>184</v>
      </c>
      <c r="J38" s="321"/>
      <c r="K38" s="318" t="s">
        <v>193</v>
      </c>
      <c r="L38" s="727">
        <f>D38-H38</f>
        <v>0</v>
      </c>
      <c r="M38" s="721" t="s">
        <v>184</v>
      </c>
      <c r="N38" s="320"/>
      <c r="O38" s="17" t="s">
        <v>293</v>
      </c>
      <c r="P38" s="34">
        <f>SUM(D38,D41)</f>
        <v>0</v>
      </c>
    </row>
    <row r="39" spans="1:16" ht="15.95" customHeight="1">
      <c r="A39" s="320"/>
      <c r="B39" s="329"/>
      <c r="C39" s="318" t="s">
        <v>286</v>
      </c>
      <c r="D39" s="623"/>
      <c r="E39" s="358"/>
      <c r="F39" s="321"/>
      <c r="G39" s="351" t="s">
        <v>287</v>
      </c>
      <c r="H39" s="623"/>
      <c r="I39" s="358"/>
      <c r="J39" s="321"/>
      <c r="K39" s="322"/>
      <c r="L39" s="321"/>
      <c r="M39" s="321"/>
      <c r="N39" s="320"/>
      <c r="O39" s="17" t="s">
        <v>294</v>
      </c>
      <c r="P39" s="34">
        <f>SUM(L38,L41)</f>
        <v>0</v>
      </c>
    </row>
    <row r="40" spans="1:16" ht="15.95" customHeight="1">
      <c r="A40" s="320"/>
      <c r="B40" s="329"/>
      <c r="C40" s="330"/>
      <c r="D40" s="320"/>
      <c r="E40" s="322"/>
      <c r="F40" s="321"/>
      <c r="G40" s="352"/>
      <c r="H40" s="320"/>
      <c r="I40" s="322"/>
      <c r="J40" s="321"/>
      <c r="K40" s="316"/>
      <c r="L40" s="320"/>
      <c r="M40" s="316"/>
      <c r="N40" s="320"/>
    </row>
    <row r="41" spans="1:16" ht="15.95" customHeight="1">
      <c r="A41" s="320"/>
      <c r="B41" s="329"/>
      <c r="C41" s="318" t="s">
        <v>288</v>
      </c>
      <c r="D41" s="628"/>
      <c r="E41" s="721" t="s">
        <v>184</v>
      </c>
      <c r="F41" s="350"/>
      <c r="G41" s="351" t="s">
        <v>285</v>
      </c>
      <c r="H41" s="628"/>
      <c r="I41" s="721" t="s">
        <v>184</v>
      </c>
      <c r="J41" s="321"/>
      <c r="K41" s="318" t="s">
        <v>193</v>
      </c>
      <c r="L41" s="727">
        <f>D41-H41</f>
        <v>0</v>
      </c>
      <c r="M41" s="721" t="s">
        <v>184</v>
      </c>
      <c r="N41" s="320"/>
    </row>
    <row r="42" spans="1:16" ht="15.95" customHeight="1">
      <c r="A42" s="320"/>
      <c r="B42" s="329"/>
      <c r="C42" s="318" t="s">
        <v>286</v>
      </c>
      <c r="D42" s="623"/>
      <c r="E42" s="358"/>
      <c r="F42" s="321"/>
      <c r="G42" s="351" t="s">
        <v>287</v>
      </c>
      <c r="H42" s="623"/>
      <c r="I42" s="358"/>
      <c r="J42" s="321"/>
      <c r="K42" s="322"/>
      <c r="L42" s="321"/>
      <c r="M42" s="321"/>
      <c r="N42" s="320"/>
    </row>
    <row r="43" spans="1:16" ht="15.95" customHeight="1">
      <c r="A43" s="320"/>
      <c r="B43" s="329"/>
      <c r="C43" s="330"/>
      <c r="D43" s="320"/>
      <c r="E43" s="316"/>
      <c r="F43" s="321"/>
      <c r="G43" s="352"/>
      <c r="H43" s="320"/>
      <c r="I43" s="316"/>
      <c r="J43" s="321"/>
      <c r="K43" s="316"/>
      <c r="L43" s="320"/>
      <c r="M43" s="316"/>
      <c r="N43" s="320"/>
    </row>
    <row r="44" spans="1:16" s="162" customFormat="1" ht="15.95" customHeight="1">
      <c r="A44" s="289"/>
      <c r="B44" s="314" t="s">
        <v>752</v>
      </c>
      <c r="C44" s="327" t="s">
        <v>311</v>
      </c>
      <c r="D44" s="289"/>
      <c r="E44" s="315"/>
      <c r="F44" s="348"/>
      <c r="G44" s="349"/>
      <c r="H44" s="289"/>
      <c r="I44" s="315"/>
      <c r="J44" s="348"/>
      <c r="K44" s="315"/>
      <c r="L44" s="289"/>
      <c r="M44" s="315"/>
      <c r="N44" s="289"/>
    </row>
    <row r="45" spans="1:16" s="10" customFormat="1" ht="15.95" customHeight="1">
      <c r="A45" s="320"/>
      <c r="B45" s="329"/>
      <c r="C45" s="318" t="s">
        <v>312</v>
      </c>
      <c r="D45" s="904" t="s">
        <v>447</v>
      </c>
      <c r="E45" s="904"/>
      <c r="F45" s="904"/>
      <c r="G45" s="904"/>
      <c r="H45" s="320"/>
      <c r="I45" s="316"/>
      <c r="J45" s="321"/>
      <c r="K45" s="316"/>
      <c r="L45" s="320"/>
      <c r="M45" s="316"/>
      <c r="N45" s="320"/>
    </row>
    <row r="46" spans="1:16" s="10" customFormat="1" ht="15.95" customHeight="1">
      <c r="A46" s="320"/>
      <c r="B46" s="329"/>
      <c r="C46" s="342"/>
      <c r="D46" s="359" t="str">
        <f>計算用資料!D30</f>
        <v/>
      </c>
      <c r="E46" s="342"/>
      <c r="F46" s="342"/>
      <c r="G46" s="342"/>
      <c r="H46" s="320"/>
      <c r="I46" s="316"/>
      <c r="J46" s="321"/>
      <c r="K46" s="316"/>
      <c r="L46" s="320"/>
      <c r="M46" s="316"/>
      <c r="N46" s="320"/>
    </row>
    <row r="47" spans="1:16" ht="15.95" customHeight="1">
      <c r="A47" s="320"/>
      <c r="B47" s="329"/>
      <c r="C47" s="330"/>
      <c r="D47" s="320"/>
      <c r="E47" s="316"/>
      <c r="F47" s="321"/>
      <c r="G47" s="352"/>
      <c r="H47" s="320"/>
      <c r="I47" s="316"/>
      <c r="J47" s="321"/>
      <c r="K47" s="316"/>
      <c r="L47" s="320"/>
      <c r="M47" s="316"/>
      <c r="N47" s="320"/>
    </row>
    <row r="48" spans="1:16" s="76" customFormat="1" ht="15.95" customHeight="1">
      <c r="A48" s="360"/>
      <c r="B48" s="361"/>
      <c r="C48" s="360" t="s">
        <v>711</v>
      </c>
      <c r="D48" s="360"/>
      <c r="E48" s="324"/>
      <c r="F48" s="362"/>
      <c r="G48" s="363"/>
      <c r="H48" s="364" t="s">
        <v>301</v>
      </c>
      <c r="I48" s="360"/>
      <c r="J48" s="362"/>
      <c r="K48" s="324"/>
      <c r="L48" s="360"/>
      <c r="M48" s="324"/>
      <c r="N48" s="360"/>
    </row>
    <row r="49" spans="1:17" s="76" customFormat="1" ht="15.95" customHeight="1">
      <c r="A49" s="360"/>
      <c r="B49" s="361"/>
      <c r="C49" s="363" t="s">
        <v>307</v>
      </c>
      <c r="D49" s="885" t="s">
        <v>308</v>
      </c>
      <c r="E49" s="885"/>
      <c r="F49" s="885"/>
      <c r="G49" s="885"/>
      <c r="H49" s="363" t="s">
        <v>302</v>
      </c>
      <c r="I49" s="885" t="s">
        <v>712</v>
      </c>
      <c r="J49" s="885"/>
      <c r="K49" s="885"/>
      <c r="L49" s="885"/>
      <c r="M49" s="885"/>
      <c r="N49" s="885"/>
    </row>
    <row r="50" spans="1:17" s="76" customFormat="1" ht="15.95" customHeight="1">
      <c r="A50" s="360"/>
      <c r="B50" s="361"/>
      <c r="C50" s="360"/>
      <c r="D50" s="360"/>
      <c r="E50" s="324"/>
      <c r="F50" s="362"/>
      <c r="G50" s="363"/>
      <c r="H50" s="363" t="s">
        <v>297</v>
      </c>
      <c r="I50" s="885" t="s">
        <v>306</v>
      </c>
      <c r="J50" s="885"/>
      <c r="K50" s="885"/>
      <c r="L50" s="885"/>
      <c r="M50" s="885"/>
      <c r="N50" s="885"/>
    </row>
    <row r="51" spans="1:17" s="16" customFormat="1" ht="15.95" hidden="1" customHeight="1">
      <c r="A51" s="355"/>
      <c r="B51" s="356"/>
      <c r="C51" s="365"/>
      <c r="D51" s="355"/>
      <c r="E51" s="319"/>
      <c r="F51" s="334"/>
      <c r="G51" s="366"/>
      <c r="H51" s="355"/>
      <c r="I51" s="319"/>
      <c r="J51" s="334"/>
      <c r="K51" s="319"/>
      <c r="L51" s="355"/>
      <c r="M51" s="319"/>
      <c r="N51" s="355"/>
    </row>
    <row r="52" spans="1:17" s="267" customFormat="1" ht="15.95" customHeight="1">
      <c r="A52" s="886" t="s">
        <v>952</v>
      </c>
      <c r="B52" s="886"/>
      <c r="C52" s="886"/>
      <c r="D52" s="886"/>
      <c r="E52" s="886"/>
      <c r="F52" s="886"/>
      <c r="G52" s="886"/>
      <c r="H52" s="886"/>
      <c r="I52" s="886"/>
      <c r="J52" s="886"/>
      <c r="K52" s="886"/>
      <c r="L52" s="886"/>
      <c r="M52" s="886"/>
      <c r="N52" s="886"/>
      <c r="O52" s="266"/>
      <c r="P52" s="266"/>
      <c r="Q52" s="266"/>
    </row>
    <row r="53" spans="1:17" ht="15.95" hidden="1" customHeight="1">
      <c r="A53" s="232"/>
      <c r="B53" s="233"/>
      <c r="C53" s="234"/>
      <c r="D53" s="232"/>
      <c r="E53" s="235"/>
      <c r="F53" s="236"/>
      <c r="G53" s="237"/>
      <c r="H53" s="232"/>
      <c r="I53" s="235"/>
      <c r="J53" s="236"/>
      <c r="K53" s="235"/>
      <c r="L53" s="232"/>
      <c r="M53" s="235"/>
      <c r="N53" s="232"/>
    </row>
    <row r="54" spans="1:17" ht="15.95" customHeight="1"/>
    <row r="55" spans="1:17" ht="15.95" customHeight="1"/>
    <row r="56" spans="1:17" ht="15.95" customHeight="1"/>
    <row r="57" spans="1:17" ht="15.95" customHeight="1"/>
    <row r="58" spans="1:17" ht="15.95" customHeight="1"/>
    <row r="59" spans="1:17" ht="15.95" customHeight="1"/>
  </sheetData>
  <sheetProtection algorithmName="SHA-512" hashValue="7y9X8fLx9TtM4m0WoQe8y7LuaWdaBjoLY+fwc9bSbn4GieSWgEaLEG4wrDoaqTAALx2t5Z0n2s0KQk6myag8wA==" saltValue="P8ET5sPr7h+isJqbFo4+Ow==" spinCount="100000" sheet="1" objects="1" scenarios="1"/>
  <mergeCells count="6">
    <mergeCell ref="C20:N21"/>
    <mergeCell ref="A52:N52"/>
    <mergeCell ref="D45:G45"/>
    <mergeCell ref="D49:G49"/>
    <mergeCell ref="I49:N49"/>
    <mergeCell ref="I50:N50"/>
  </mergeCells>
  <phoneticPr fontId="37"/>
  <dataValidations count="3">
    <dataValidation type="list" allowBlank="1" showInputMessage="1" showErrorMessage="1" sqref="D45:G45">
      <formula1>"　,給与から天引き（特別徴収）,自分で納付（普通徴収）"</formula1>
    </dataValidation>
    <dataValidation type="whole" allowBlank="1" showInputMessage="1" showErrorMessage="1" errorTitle="整数で入力してください。" error="整数で入力してください。" sqref="D3 H3 H7 D7 D11 H11 D15:D16 D22 H22 D25 H25 D38 H28 D28">
      <formula1>0</formula1>
      <formula2>9999999999</formula2>
    </dataValidation>
    <dataValidation type="whole" allowBlank="1" showInputMessage="1" showErrorMessage="1" sqref="D33 H33 D41 H38 H41">
      <formula1>0</formula1>
      <formula2>9999999999</formula2>
    </dataValidation>
  </dataValidations>
  <hyperlinks>
    <hyperlink ref="I49" location="収入3!A1" display="ある人はこちらをクリック。"/>
    <hyperlink ref="I50" location="社会保険料・生命保険料!A1" display="ない人はこちらをクリック。控除の入力に進みます。"/>
    <hyperlink ref="D49" location="収入1!A1" display="給与・公的年金収入を入力する方はこちら"/>
    <hyperlink ref="D49:G49" location="給与・年金!A1" display="給与・公的年金収入を入力する方はこちら"/>
    <hyperlink ref="I49:N49" location="一時所得等!A1" display="ある人はこちらをクリック。"/>
    <hyperlink ref="I50:N50" location="社会保険・生命・地震保険!A1" display="ない人はこちらをクリック。控除の入力に進みます。"/>
  </hyperlink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showRowColHeaders="0" workbookViewId="0">
      <selection activeCell="N25" sqref="N25"/>
    </sheetView>
  </sheetViews>
  <sheetFormatPr defaultColWidth="0" defaultRowHeight="15.95" customHeight="1" zeroHeight="1"/>
  <cols>
    <col min="1" max="1" width="4.75" style="9" customWidth="1"/>
    <col min="2" max="2" width="6.5" style="9" customWidth="1"/>
    <col min="3" max="3" width="10.375" style="9" customWidth="1"/>
    <col min="4" max="4" width="14.875" style="9" customWidth="1"/>
    <col min="5" max="5" width="3.375" style="9" customWidth="1"/>
    <col min="6" max="6" width="4.125" style="9" customWidth="1"/>
    <col min="7" max="7" width="8" style="9" customWidth="1"/>
    <col min="8" max="8" width="14" style="9" customWidth="1"/>
    <col min="9" max="9" width="4" style="9" customWidth="1"/>
    <col min="10" max="10" width="4.625" style="9" customWidth="1"/>
    <col min="11" max="11" width="12.875" style="9" customWidth="1"/>
    <col min="12" max="12" width="12.75" style="9" customWidth="1"/>
    <col min="13" max="13" width="4.625" style="9" customWidth="1"/>
    <col min="14" max="15" width="9" style="9" customWidth="1"/>
    <col min="16" max="16384" width="9" style="9" hidden="1"/>
  </cols>
  <sheetData>
    <row r="1" spans="1:15" s="195" customFormat="1" ht="15.95" customHeight="1">
      <c r="A1" s="313"/>
      <c r="B1" s="314" t="s">
        <v>199</v>
      </c>
      <c r="C1" s="313" t="s">
        <v>1136</v>
      </c>
      <c r="D1" s="313"/>
      <c r="E1" s="313"/>
      <c r="F1" s="313"/>
      <c r="G1" s="313"/>
      <c r="H1" s="313"/>
      <c r="I1" s="313"/>
      <c r="J1" s="313"/>
      <c r="K1" s="313"/>
      <c r="L1" s="313"/>
      <c r="M1" s="313"/>
      <c r="N1" s="313"/>
      <c r="O1" s="313"/>
    </row>
    <row r="2" spans="1:15" s="15" customFormat="1" ht="15.95" customHeight="1">
      <c r="A2" s="310"/>
      <c r="B2" s="356"/>
      <c r="C2" s="310" t="s">
        <v>1142</v>
      </c>
      <c r="D2" s="310"/>
      <c r="E2" s="310"/>
      <c r="F2" s="310"/>
      <c r="G2" s="310"/>
      <c r="H2" s="310"/>
      <c r="I2" s="310"/>
      <c r="J2" s="310"/>
      <c r="K2" s="310"/>
      <c r="L2" s="310"/>
      <c r="M2" s="310"/>
      <c r="N2" s="310"/>
      <c r="O2" s="310"/>
    </row>
    <row r="3" spans="1:15" s="15" customFormat="1" ht="15.95" customHeight="1">
      <c r="A3" s="310"/>
      <c r="B3" s="356"/>
      <c r="C3" s="310" t="s">
        <v>1121</v>
      </c>
      <c r="D3" s="310"/>
      <c r="E3" s="310"/>
      <c r="F3" s="310"/>
      <c r="G3" s="310"/>
      <c r="H3" s="310"/>
      <c r="I3" s="310"/>
      <c r="J3" s="310"/>
      <c r="K3" s="310"/>
      <c r="L3" s="310"/>
      <c r="M3" s="310"/>
      <c r="N3" s="310"/>
      <c r="O3" s="310"/>
    </row>
    <row r="4" spans="1:15" ht="15.95" customHeight="1">
      <c r="A4" s="293"/>
      <c r="B4" s="293"/>
      <c r="C4" s="894" t="s">
        <v>287</v>
      </c>
      <c r="D4" s="894"/>
      <c r="E4" s="894"/>
      <c r="F4" s="894" t="s">
        <v>192</v>
      </c>
      <c r="G4" s="894"/>
      <c r="H4" s="627"/>
      <c r="I4" s="367" t="s">
        <v>184</v>
      </c>
      <c r="J4" s="321"/>
      <c r="K4" s="318" t="s">
        <v>396</v>
      </c>
      <c r="L4" s="728">
        <f>計算用資料!C34</f>
        <v>0</v>
      </c>
      <c r="M4" s="721" t="s">
        <v>184</v>
      </c>
      <c r="N4" s="293"/>
      <c r="O4" s="293"/>
    </row>
    <row r="5" spans="1:15" ht="15.95" customHeight="1">
      <c r="A5" s="293"/>
      <c r="B5" s="293"/>
      <c r="C5" s="904"/>
      <c r="D5" s="904"/>
      <c r="E5" s="904"/>
      <c r="F5" s="894" t="s">
        <v>395</v>
      </c>
      <c r="G5" s="894"/>
      <c r="H5" s="628"/>
      <c r="I5" s="367" t="s">
        <v>184</v>
      </c>
      <c r="J5" s="321"/>
      <c r="K5" s="318" t="s">
        <v>398</v>
      </c>
      <c r="L5" s="728">
        <f>計算用資料!D34</f>
        <v>0</v>
      </c>
      <c r="M5" s="721" t="s">
        <v>184</v>
      </c>
      <c r="N5" s="293"/>
      <c r="O5" s="293"/>
    </row>
    <row r="6" spans="1:15" ht="15.95" customHeight="1">
      <c r="A6" s="293"/>
      <c r="B6" s="293"/>
      <c r="C6" s="342"/>
      <c r="D6" s="342"/>
      <c r="E6" s="342"/>
      <c r="F6" s="342"/>
      <c r="G6" s="342"/>
      <c r="H6" s="335"/>
      <c r="I6" s="342"/>
      <c r="J6" s="321"/>
      <c r="K6" s="318" t="s">
        <v>397</v>
      </c>
      <c r="L6" s="728">
        <f>計算用資料!E34</f>
        <v>0</v>
      </c>
      <c r="M6" s="721" t="s">
        <v>184</v>
      </c>
      <c r="N6" s="293"/>
      <c r="O6" s="293"/>
    </row>
    <row r="7" spans="1:15" ht="15.95" customHeight="1">
      <c r="A7" s="293"/>
      <c r="B7" s="293"/>
      <c r="C7" s="293"/>
      <c r="D7" s="293"/>
      <c r="E7" s="293"/>
      <c r="F7" s="293"/>
      <c r="G7" s="293"/>
      <c r="H7" s="293"/>
      <c r="I7" s="293"/>
      <c r="J7" s="293"/>
      <c r="K7" s="293"/>
      <c r="L7" s="368" t="str">
        <f>計算用資料!I34</f>
        <v/>
      </c>
      <c r="M7" s="293"/>
      <c r="N7" s="293"/>
      <c r="O7" s="293"/>
    </row>
    <row r="8" spans="1:15" s="195" customFormat="1" ht="15.95" customHeight="1">
      <c r="A8" s="313"/>
      <c r="B8" s="314" t="s">
        <v>394</v>
      </c>
      <c r="C8" s="313" t="s">
        <v>1137</v>
      </c>
      <c r="D8" s="313"/>
      <c r="E8" s="313"/>
      <c r="F8" s="313"/>
      <c r="G8" s="313"/>
      <c r="H8" s="313"/>
      <c r="I8" s="313"/>
      <c r="J8" s="313"/>
      <c r="K8" s="313"/>
      <c r="L8" s="313"/>
      <c r="M8" s="313"/>
      <c r="N8" s="313"/>
      <c r="O8" s="313"/>
    </row>
    <row r="9" spans="1:15" s="15" customFormat="1" ht="15.95" customHeight="1">
      <c r="A9" s="310"/>
      <c r="B9" s="356"/>
      <c r="C9" s="310" t="s">
        <v>1143</v>
      </c>
      <c r="D9" s="310"/>
      <c r="E9" s="310"/>
      <c r="F9" s="310"/>
      <c r="G9" s="310"/>
      <c r="H9" s="310"/>
      <c r="I9" s="310"/>
      <c r="J9" s="310"/>
      <c r="K9" s="310"/>
      <c r="L9" s="310"/>
      <c r="M9" s="310"/>
      <c r="N9" s="310"/>
      <c r="O9" s="310"/>
    </row>
    <row r="10" spans="1:15" s="15" customFormat="1" ht="15.95" customHeight="1">
      <c r="A10" s="310"/>
      <c r="B10" s="356"/>
      <c r="C10" s="310" t="s">
        <v>1122</v>
      </c>
      <c r="D10" s="310"/>
      <c r="E10" s="310"/>
      <c r="F10" s="310"/>
      <c r="G10" s="310"/>
      <c r="H10" s="310"/>
      <c r="I10" s="310"/>
      <c r="J10" s="310"/>
      <c r="K10" s="310"/>
      <c r="L10" s="310"/>
      <c r="M10" s="310"/>
      <c r="N10" s="310"/>
      <c r="O10" s="310"/>
    </row>
    <row r="11" spans="1:15" ht="15.95" customHeight="1">
      <c r="A11" s="293"/>
      <c r="B11" s="293"/>
      <c r="C11" s="897" t="s">
        <v>287</v>
      </c>
      <c r="D11" s="908"/>
      <c r="E11" s="898"/>
      <c r="F11" s="897" t="s">
        <v>192</v>
      </c>
      <c r="G11" s="898"/>
      <c r="H11" s="627"/>
      <c r="I11" s="367" t="s">
        <v>184</v>
      </c>
      <c r="J11" s="321"/>
      <c r="K11" s="318" t="s">
        <v>396</v>
      </c>
      <c r="L11" s="728">
        <f>計算用資料!C37</f>
        <v>0</v>
      </c>
      <c r="M11" s="721" t="s">
        <v>184</v>
      </c>
      <c r="N11" s="293"/>
      <c r="O11" s="293"/>
    </row>
    <row r="12" spans="1:15" ht="15.95" customHeight="1">
      <c r="A12" s="293"/>
      <c r="B12" s="293"/>
      <c r="C12" s="905"/>
      <c r="D12" s="906"/>
      <c r="E12" s="907"/>
      <c r="F12" s="897" t="s">
        <v>395</v>
      </c>
      <c r="G12" s="898"/>
      <c r="H12" s="628"/>
      <c r="I12" s="367" t="s">
        <v>184</v>
      </c>
      <c r="J12" s="321"/>
      <c r="K12" s="318" t="s">
        <v>398</v>
      </c>
      <c r="L12" s="728">
        <f>計算用資料!D37</f>
        <v>0</v>
      </c>
      <c r="M12" s="721" t="s">
        <v>184</v>
      </c>
      <c r="N12" s="293"/>
      <c r="O12" s="293"/>
    </row>
    <row r="13" spans="1:15" ht="15.95" customHeight="1">
      <c r="A13" s="293"/>
      <c r="B13" s="293"/>
      <c r="C13" s="342"/>
      <c r="D13" s="342"/>
      <c r="E13" s="342"/>
      <c r="F13" s="342"/>
      <c r="G13" s="342"/>
      <c r="H13" s="335"/>
      <c r="I13" s="342"/>
      <c r="J13" s="321"/>
      <c r="K13" s="318" t="s">
        <v>397</v>
      </c>
      <c r="L13" s="728">
        <f>計算用資料!E37</f>
        <v>0</v>
      </c>
      <c r="M13" s="721" t="s">
        <v>184</v>
      </c>
      <c r="N13" s="293"/>
      <c r="O13" s="293"/>
    </row>
    <row r="14" spans="1:15" ht="15.95" customHeight="1">
      <c r="A14" s="293"/>
      <c r="B14" s="293"/>
      <c r="C14" s="293"/>
      <c r="D14" s="293"/>
      <c r="E14" s="293"/>
      <c r="F14" s="293"/>
      <c r="G14" s="293"/>
      <c r="H14" s="293"/>
      <c r="I14" s="293"/>
      <c r="J14" s="293"/>
      <c r="K14" s="293"/>
      <c r="L14" s="368" t="str">
        <f>計算用資料!I37</f>
        <v/>
      </c>
      <c r="M14" s="293"/>
      <c r="N14" s="293"/>
      <c r="O14" s="293"/>
    </row>
    <row r="15" spans="1:15" s="195" customFormat="1" ht="15.95" customHeight="1">
      <c r="A15" s="313"/>
      <c r="B15" s="314" t="s">
        <v>205</v>
      </c>
      <c r="C15" s="313" t="s">
        <v>195</v>
      </c>
      <c r="D15" s="313"/>
      <c r="E15" s="313"/>
      <c r="F15" s="313"/>
      <c r="G15" s="313"/>
      <c r="H15" s="313"/>
      <c r="I15" s="313"/>
      <c r="J15" s="313"/>
      <c r="K15" s="313"/>
      <c r="L15" s="313"/>
      <c r="M15" s="313"/>
      <c r="N15" s="313"/>
      <c r="O15" s="313"/>
    </row>
    <row r="16" spans="1:15" s="15" customFormat="1" ht="15.95" customHeight="1">
      <c r="A16" s="310"/>
      <c r="B16" s="356"/>
      <c r="C16" s="310" t="s">
        <v>1123</v>
      </c>
      <c r="D16" s="310"/>
      <c r="E16" s="310"/>
      <c r="F16" s="310"/>
      <c r="G16" s="310"/>
      <c r="H16" s="310"/>
      <c r="I16" s="310"/>
      <c r="J16" s="310"/>
      <c r="K16" s="310"/>
      <c r="L16" s="310"/>
      <c r="M16" s="310"/>
      <c r="N16" s="310"/>
      <c r="O16" s="310"/>
    </row>
    <row r="17" spans="1:15" ht="15.95" customHeight="1">
      <c r="A17" s="293"/>
      <c r="B17" s="293"/>
      <c r="C17" s="897" t="s">
        <v>287</v>
      </c>
      <c r="D17" s="908"/>
      <c r="E17" s="898"/>
      <c r="F17" s="897" t="s">
        <v>192</v>
      </c>
      <c r="G17" s="898"/>
      <c r="H17" s="627"/>
      <c r="I17" s="367" t="s">
        <v>184</v>
      </c>
      <c r="J17" s="321"/>
      <c r="K17" s="318" t="s">
        <v>396</v>
      </c>
      <c r="L17" s="728">
        <f>計算用資料!C40</f>
        <v>0</v>
      </c>
      <c r="M17" s="721" t="s">
        <v>184</v>
      </c>
      <c r="N17" s="293"/>
      <c r="O17" s="293"/>
    </row>
    <row r="18" spans="1:15" ht="15.95" customHeight="1">
      <c r="A18" s="293"/>
      <c r="B18" s="293"/>
      <c r="C18" s="905"/>
      <c r="D18" s="906"/>
      <c r="E18" s="907"/>
      <c r="F18" s="897" t="s">
        <v>395</v>
      </c>
      <c r="G18" s="898"/>
      <c r="H18" s="628"/>
      <c r="I18" s="367" t="s">
        <v>184</v>
      </c>
      <c r="J18" s="321"/>
      <c r="K18" s="318" t="s">
        <v>398</v>
      </c>
      <c r="L18" s="728">
        <f>計算用資料!D40</f>
        <v>0</v>
      </c>
      <c r="M18" s="721" t="s">
        <v>184</v>
      </c>
      <c r="N18" s="293"/>
      <c r="O18" s="293"/>
    </row>
    <row r="19" spans="1:15" ht="15.95" customHeight="1">
      <c r="A19" s="293"/>
      <c r="B19" s="293"/>
      <c r="C19" s="342"/>
      <c r="D19" s="342"/>
      <c r="E19" s="342"/>
      <c r="F19" s="342"/>
      <c r="G19" s="342"/>
      <c r="H19" s="335"/>
      <c r="I19" s="342"/>
      <c r="J19" s="321"/>
      <c r="K19" s="318" t="s">
        <v>397</v>
      </c>
      <c r="L19" s="728">
        <f>計算用資料!E40</f>
        <v>0</v>
      </c>
      <c r="M19" s="721" t="s">
        <v>184</v>
      </c>
      <c r="N19" s="293"/>
      <c r="O19" s="293"/>
    </row>
    <row r="20" spans="1:15" ht="15.95" customHeight="1">
      <c r="A20" s="293"/>
      <c r="B20" s="293"/>
      <c r="C20" s="293"/>
      <c r="D20" s="293"/>
      <c r="E20" s="293"/>
      <c r="F20" s="293"/>
      <c r="G20" s="293"/>
      <c r="H20" s="293"/>
      <c r="I20" s="293"/>
      <c r="J20" s="293"/>
      <c r="K20" s="293"/>
      <c r="L20" s="368" t="str">
        <f>計算用資料!I40</f>
        <v/>
      </c>
      <c r="M20" s="293"/>
      <c r="N20" s="368"/>
      <c r="O20" s="293"/>
    </row>
    <row r="21" spans="1:15" ht="15.95" customHeight="1">
      <c r="A21" s="293"/>
      <c r="B21" s="293"/>
      <c r="C21" s="293"/>
      <c r="D21" s="293"/>
      <c r="E21" s="293"/>
      <c r="F21" s="293"/>
      <c r="G21" s="293"/>
      <c r="H21" s="293"/>
      <c r="I21" s="293"/>
      <c r="J21" s="293"/>
      <c r="K21" s="293"/>
      <c r="L21" s="293"/>
      <c r="M21" s="293"/>
      <c r="N21" s="293"/>
      <c r="O21" s="293"/>
    </row>
    <row r="22" spans="1:15" ht="15.95" customHeight="1">
      <c r="A22" s="293"/>
      <c r="B22" s="293"/>
      <c r="C22" s="293"/>
      <c r="D22" s="293"/>
      <c r="E22" s="293"/>
      <c r="F22" s="293"/>
      <c r="G22" s="293"/>
      <c r="H22" s="894" t="s">
        <v>399</v>
      </c>
      <c r="I22" s="894"/>
      <c r="J22" s="894"/>
      <c r="K22" s="894"/>
      <c r="L22" s="727">
        <f>計算用資料!G34</f>
        <v>0</v>
      </c>
      <c r="M22" s="721" t="s">
        <v>184</v>
      </c>
      <c r="N22" s="293"/>
      <c r="O22" s="293"/>
    </row>
    <row r="23" spans="1:15" s="15" customFormat="1" ht="15.95" customHeight="1">
      <c r="A23" s="310"/>
      <c r="B23" s="310"/>
      <c r="C23" s="310"/>
      <c r="D23" s="310"/>
      <c r="E23" s="310"/>
      <c r="F23" s="310"/>
      <c r="G23" s="310"/>
      <c r="H23" s="342"/>
      <c r="I23" s="342"/>
      <c r="J23" s="342"/>
      <c r="K23" s="342"/>
      <c r="L23" s="357"/>
      <c r="M23" s="342"/>
      <c r="N23" s="310"/>
      <c r="O23" s="310"/>
    </row>
    <row r="24" spans="1:15" s="195" customFormat="1" ht="15.95" customHeight="1">
      <c r="A24" s="289"/>
      <c r="B24" s="314" t="s">
        <v>201</v>
      </c>
      <c r="C24" s="327" t="s">
        <v>311</v>
      </c>
      <c r="D24" s="289"/>
      <c r="E24" s="315"/>
      <c r="F24" s="348"/>
      <c r="G24" s="349"/>
      <c r="H24" s="289"/>
      <c r="I24" s="315"/>
      <c r="J24" s="348"/>
      <c r="K24" s="315"/>
      <c r="L24" s="289"/>
      <c r="M24" s="315"/>
      <c r="N24" s="289"/>
      <c r="O24" s="313"/>
    </row>
    <row r="25" spans="1:15" s="15" customFormat="1" ht="15.95" customHeight="1">
      <c r="A25" s="320"/>
      <c r="B25" s="329"/>
      <c r="C25" s="318" t="s">
        <v>312</v>
      </c>
      <c r="D25" s="904" t="s">
        <v>447</v>
      </c>
      <c r="E25" s="904"/>
      <c r="F25" s="904"/>
      <c r="G25" s="904"/>
      <c r="H25" s="320"/>
      <c r="I25" s="316"/>
      <c r="J25" s="321"/>
      <c r="K25" s="316"/>
      <c r="L25" s="320"/>
      <c r="M25" s="316"/>
      <c r="N25" s="320"/>
      <c r="O25" s="310"/>
    </row>
    <row r="26" spans="1:15" ht="15.95" customHeight="1">
      <c r="A26" s="293"/>
      <c r="B26" s="293"/>
      <c r="C26" s="293"/>
      <c r="D26" s="359" t="str">
        <f>計算用資料!D30</f>
        <v/>
      </c>
      <c r="E26" s="293"/>
      <c r="F26" s="293"/>
      <c r="G26" s="293"/>
      <c r="H26" s="293"/>
      <c r="I26" s="293"/>
      <c r="J26" s="293"/>
      <c r="K26" s="293"/>
      <c r="L26" s="293"/>
      <c r="M26" s="293"/>
      <c r="N26" s="293"/>
      <c r="O26" s="293"/>
    </row>
    <row r="27" spans="1:15" ht="15.95" customHeight="1">
      <c r="A27" s="293"/>
      <c r="B27" s="293"/>
      <c r="C27" s="293"/>
      <c r="D27" s="293"/>
      <c r="E27" s="293"/>
      <c r="F27" s="293"/>
      <c r="G27" s="293"/>
      <c r="H27" s="293"/>
      <c r="I27" s="293"/>
      <c r="J27" s="293"/>
      <c r="K27" s="293"/>
      <c r="L27" s="293"/>
      <c r="M27" s="293"/>
      <c r="N27" s="293"/>
      <c r="O27" s="293"/>
    </row>
    <row r="28" spans="1:15" s="75" customFormat="1" ht="15.95" customHeight="1">
      <c r="A28" s="305"/>
      <c r="B28" s="305" t="s">
        <v>305</v>
      </c>
      <c r="C28" s="305"/>
      <c r="D28" s="305"/>
      <c r="E28" s="305"/>
      <c r="F28" s="305"/>
      <c r="G28" s="305"/>
      <c r="H28" s="305"/>
      <c r="I28" s="305"/>
      <c r="J28" s="305"/>
      <c r="K28" s="305"/>
      <c r="L28" s="305"/>
      <c r="M28" s="305"/>
      <c r="N28" s="305"/>
      <c r="O28" s="305"/>
    </row>
    <row r="29" spans="1:15" s="75" customFormat="1" ht="15.95" customHeight="1">
      <c r="A29" s="305"/>
      <c r="B29" s="363" t="s">
        <v>307</v>
      </c>
      <c r="C29" s="885" t="s">
        <v>713</v>
      </c>
      <c r="D29" s="885"/>
      <c r="E29" s="885"/>
      <c r="F29" s="885"/>
      <c r="G29" s="885"/>
      <c r="H29" s="885"/>
      <c r="I29" s="363" t="s">
        <v>303</v>
      </c>
      <c r="J29" s="885" t="s">
        <v>306</v>
      </c>
      <c r="K29" s="885"/>
      <c r="L29" s="885"/>
      <c r="M29" s="885"/>
      <c r="N29" s="885"/>
      <c r="O29" s="885"/>
    </row>
    <row r="30" spans="1:15" s="75" customFormat="1" ht="15.95" customHeight="1">
      <c r="A30" s="305"/>
      <c r="B30" s="363" t="s">
        <v>307</v>
      </c>
      <c r="C30" s="885" t="s">
        <v>714</v>
      </c>
      <c r="D30" s="885"/>
      <c r="E30" s="885"/>
      <c r="F30" s="885"/>
      <c r="G30" s="885"/>
      <c r="H30" s="885"/>
      <c r="I30" s="305"/>
      <c r="J30" s="305"/>
      <c r="K30" s="305"/>
      <c r="L30" s="305"/>
      <c r="M30" s="305"/>
      <c r="N30" s="305"/>
      <c r="O30" s="305"/>
    </row>
    <row r="31" spans="1:15" s="75" customFormat="1" ht="15.95" customHeight="1">
      <c r="A31" s="305"/>
      <c r="B31" s="363" t="s">
        <v>307</v>
      </c>
      <c r="C31" s="885" t="s">
        <v>1218</v>
      </c>
      <c r="D31" s="885"/>
      <c r="E31" s="885"/>
      <c r="F31" s="885"/>
      <c r="G31" s="885"/>
      <c r="H31" s="885"/>
      <c r="I31" s="305"/>
      <c r="J31" s="305"/>
      <c r="K31" s="305"/>
      <c r="L31" s="305"/>
      <c r="M31" s="305"/>
      <c r="N31" s="305"/>
      <c r="O31" s="305"/>
    </row>
    <row r="32" spans="1:15" ht="15.95" hidden="1" customHeight="1">
      <c r="A32" s="293"/>
      <c r="B32" s="293"/>
      <c r="C32" s="293"/>
      <c r="D32" s="293"/>
      <c r="E32" s="293"/>
      <c r="F32" s="293"/>
      <c r="G32" s="293"/>
      <c r="H32" s="293"/>
      <c r="I32" s="293"/>
      <c r="J32" s="293"/>
      <c r="K32" s="293"/>
      <c r="L32" s="293"/>
      <c r="M32" s="293"/>
      <c r="N32" s="293"/>
      <c r="O32" s="293"/>
    </row>
    <row r="33" spans="1:17" s="163" customFormat="1" ht="15.95" customHeight="1">
      <c r="A33" s="886" t="s">
        <v>952</v>
      </c>
      <c r="B33" s="886"/>
      <c r="C33" s="886"/>
      <c r="D33" s="886"/>
      <c r="E33" s="886"/>
      <c r="F33" s="886"/>
      <c r="G33" s="886"/>
      <c r="H33" s="886"/>
      <c r="I33" s="886"/>
      <c r="J33" s="886"/>
      <c r="K33" s="886"/>
      <c r="L33" s="886"/>
      <c r="M33" s="886"/>
      <c r="N33" s="886"/>
      <c r="O33" s="886"/>
      <c r="P33" s="265"/>
      <c r="Q33" s="265"/>
    </row>
    <row r="34" spans="1:17" ht="15.95" hidden="1" customHeight="1">
      <c r="A34" s="164"/>
      <c r="B34" s="164"/>
      <c r="C34" s="164"/>
      <c r="D34" s="164"/>
      <c r="E34" s="164"/>
      <c r="F34" s="164"/>
      <c r="G34" s="164"/>
      <c r="H34" s="164"/>
      <c r="I34" s="164"/>
      <c r="J34" s="164"/>
      <c r="K34" s="164"/>
      <c r="L34" s="164"/>
      <c r="M34" s="164"/>
      <c r="N34" s="164"/>
      <c r="O34" s="164"/>
    </row>
    <row r="35" spans="1:17" ht="15.95" hidden="1" customHeight="1">
      <c r="A35" s="164"/>
      <c r="B35" s="164"/>
      <c r="C35" s="164"/>
      <c r="D35" s="164"/>
      <c r="E35" s="164"/>
      <c r="F35" s="164"/>
      <c r="G35" s="164"/>
      <c r="H35" s="164"/>
      <c r="I35" s="164"/>
      <c r="J35" s="164"/>
      <c r="K35" s="164"/>
      <c r="L35" s="164"/>
      <c r="M35" s="164"/>
      <c r="N35" s="164"/>
      <c r="O35" s="164"/>
    </row>
    <row r="36" spans="1:17" ht="15.95" hidden="1" customHeight="1">
      <c r="A36" s="164"/>
      <c r="B36" s="164"/>
      <c r="C36" s="164"/>
      <c r="D36" s="164"/>
      <c r="E36" s="164"/>
      <c r="F36" s="164"/>
      <c r="G36" s="164"/>
      <c r="H36" s="164"/>
      <c r="I36" s="164"/>
      <c r="J36" s="164"/>
      <c r="K36" s="164"/>
      <c r="L36" s="164"/>
      <c r="M36" s="164"/>
      <c r="N36" s="164"/>
      <c r="O36" s="164"/>
    </row>
  </sheetData>
  <sheetProtection algorithmName="SHA-512" hashValue="UjL2wXktMkOFxgieY7dYAYvP7Bp5fyNRxNdnVW0kVfwXvHJvYVdxv1uIMnvHpVDMbhrrA/RFCpxxw6E6PV83Tg==" saltValue="eajoTiBvcDv2vQsDWtdqtA==" spinCount="100000" sheet="1" objects="1" scenarios="1"/>
  <mergeCells count="19">
    <mergeCell ref="A33:O33"/>
    <mergeCell ref="C29:H29"/>
    <mergeCell ref="C30:H30"/>
    <mergeCell ref="C31:H31"/>
    <mergeCell ref="J29:O29"/>
    <mergeCell ref="H22:K22"/>
    <mergeCell ref="D25:G25"/>
    <mergeCell ref="C4:E4"/>
    <mergeCell ref="F5:G5"/>
    <mergeCell ref="F4:G4"/>
    <mergeCell ref="C5:E5"/>
    <mergeCell ref="C18:E18"/>
    <mergeCell ref="F18:G18"/>
    <mergeCell ref="C11:E11"/>
    <mergeCell ref="F11:G11"/>
    <mergeCell ref="C12:E12"/>
    <mergeCell ref="F12:G12"/>
    <mergeCell ref="C17:E17"/>
    <mergeCell ref="F17:G17"/>
  </mergeCells>
  <phoneticPr fontId="37"/>
  <dataValidations count="2">
    <dataValidation type="list" allowBlank="1" showInputMessage="1" showErrorMessage="1" sqref="D25:G25">
      <formula1>"　,給与から天引き（特別徴収）,自分で納付（普通徴収）"</formula1>
    </dataValidation>
    <dataValidation type="whole" allowBlank="1" showInputMessage="1" showErrorMessage="1" errorTitle="整数で入力してください。" error="整数で入力してください。" sqref="H4:H5 H11:H12 H17:H18">
      <formula1>0</formula1>
      <formula2>9999999999</formula2>
    </dataValidation>
  </dataValidations>
  <hyperlinks>
    <hyperlink ref="J29" location="社会保険料・生命保険料!A1" display="所得の入力が完了した方はこちら。控除の入力に進みます。"/>
    <hyperlink ref="C29" location="収入1!A1" display="給与収入・公的年金収入の入力をする方はこちら。"/>
    <hyperlink ref="C30" location="収入2!A1" display="営業収入や公的年金以外の雑所得を入力する方はこちら。"/>
    <hyperlink ref="C31" location="はじめに!A1" display="個人情報の入力をする方はこちら"/>
    <hyperlink ref="C30:H30" location="営業等!A1" display="営業収入や公的年金以外の雑所得を入力する方はこちら。"/>
    <hyperlink ref="C29:H29" location="給与・年金!A1" display="給与収入・公的年金収入の入力をする方はこちら"/>
    <hyperlink ref="J29:O29" location="社会保険・生命・地震保険!A1" display="所得の入力が完了した方はこちら。控除の入力に進みます。"/>
  </hyperlink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showRowColHeaders="0" zoomScaleNormal="100" workbookViewId="0">
      <selection activeCell="E28" sqref="E28"/>
    </sheetView>
  </sheetViews>
  <sheetFormatPr defaultColWidth="0" defaultRowHeight="13.5" customHeight="1" zeroHeight="1"/>
  <cols>
    <col min="1" max="1" width="4.625" style="9" customWidth="1"/>
    <col min="2" max="2" width="6.125" style="8" customWidth="1"/>
    <col min="3" max="3" width="8.75" style="9" customWidth="1"/>
    <col min="4" max="5" width="23.375" style="9" customWidth="1"/>
    <col min="6" max="6" width="18.375" style="9" customWidth="1"/>
    <col min="7" max="9" width="16" style="9" customWidth="1"/>
    <col min="10" max="10" width="9" style="9" customWidth="1"/>
    <col min="11" max="13" width="9" style="9" hidden="1" customWidth="1"/>
    <col min="14" max="14" width="0" style="9" hidden="1" customWidth="1"/>
    <col min="15" max="16384" width="9" style="9" hidden="1"/>
  </cols>
  <sheetData>
    <row r="1" spans="1:13" s="328" customFormat="1" ht="15.95" customHeight="1">
      <c r="A1" s="634"/>
      <c r="B1" s="314" t="s">
        <v>199</v>
      </c>
      <c r="C1" s="313" t="s">
        <v>178</v>
      </c>
      <c r="D1" s="313"/>
      <c r="E1" s="313"/>
      <c r="F1" s="313"/>
      <c r="G1" s="313"/>
      <c r="H1" s="313"/>
      <c r="I1" s="313"/>
      <c r="J1" s="313"/>
    </row>
    <row r="2" spans="1:13" s="295" customFormat="1" ht="15.95" customHeight="1">
      <c r="A2" s="293"/>
      <c r="B2" s="294"/>
      <c r="C2" s="910" t="s">
        <v>1490</v>
      </c>
      <c r="D2" s="911"/>
      <c r="E2" s="911"/>
      <c r="F2" s="912"/>
      <c r="G2" s="924" t="s">
        <v>179</v>
      </c>
      <c r="H2" s="924"/>
      <c r="I2" s="336" t="s">
        <v>204</v>
      </c>
      <c r="J2" s="293"/>
      <c r="K2" s="369"/>
      <c r="L2" s="369"/>
      <c r="M2" s="369"/>
    </row>
    <row r="3" spans="1:13" s="295" customFormat="1" ht="15.95" customHeight="1">
      <c r="A3" s="293"/>
      <c r="B3" s="296"/>
      <c r="C3" s="913"/>
      <c r="D3" s="914"/>
      <c r="E3" s="914"/>
      <c r="F3" s="915"/>
      <c r="G3" s="894" t="s">
        <v>180</v>
      </c>
      <c r="H3" s="894"/>
      <c r="I3" s="624"/>
      <c r="J3" s="293" t="s">
        <v>202</v>
      </c>
    </row>
    <row r="4" spans="1:13" s="295" customFormat="1" ht="15.95" customHeight="1">
      <c r="A4" s="293"/>
      <c r="B4" s="296"/>
      <c r="C4" s="913"/>
      <c r="D4" s="914"/>
      <c r="E4" s="914"/>
      <c r="F4" s="915"/>
      <c r="G4" s="894" t="s">
        <v>181</v>
      </c>
      <c r="H4" s="894"/>
      <c r="I4" s="624"/>
      <c r="J4" s="293" t="s">
        <v>202</v>
      </c>
    </row>
    <row r="5" spans="1:13" s="295" customFormat="1" ht="15.95" customHeight="1">
      <c r="A5" s="293"/>
      <c r="B5" s="296"/>
      <c r="C5" s="913"/>
      <c r="D5" s="914"/>
      <c r="E5" s="914"/>
      <c r="F5" s="915"/>
      <c r="G5" s="923" t="s">
        <v>447</v>
      </c>
      <c r="H5" s="923"/>
      <c r="I5" s="624"/>
      <c r="J5" s="293" t="s">
        <v>202</v>
      </c>
    </row>
    <row r="6" spans="1:13" s="295" customFormat="1" ht="15.95" customHeight="1">
      <c r="A6" s="293"/>
      <c r="B6" s="296"/>
      <c r="C6" s="913"/>
      <c r="D6" s="914"/>
      <c r="E6" s="914"/>
      <c r="F6" s="915"/>
      <c r="G6" s="923" t="s">
        <v>447</v>
      </c>
      <c r="H6" s="923"/>
      <c r="I6" s="624"/>
      <c r="J6" s="293" t="s">
        <v>202</v>
      </c>
    </row>
    <row r="7" spans="1:13" s="295" customFormat="1" ht="15.95" customHeight="1">
      <c r="A7" s="293"/>
      <c r="B7" s="296"/>
      <c r="C7" s="913"/>
      <c r="D7" s="914"/>
      <c r="E7" s="914"/>
      <c r="F7" s="915"/>
      <c r="G7" s="921" t="s">
        <v>585</v>
      </c>
      <c r="H7" s="922"/>
      <c r="I7" s="624"/>
      <c r="J7" s="293" t="s">
        <v>202</v>
      </c>
    </row>
    <row r="8" spans="1:13" s="295" customFormat="1" ht="15.95" customHeight="1">
      <c r="A8" s="293"/>
      <c r="B8" s="296"/>
      <c r="C8" s="916"/>
      <c r="D8" s="917"/>
      <c r="E8" s="917"/>
      <c r="F8" s="918"/>
      <c r="G8" s="894" t="s">
        <v>182</v>
      </c>
      <c r="H8" s="894"/>
      <c r="I8" s="370">
        <f>SUM(I3:I7)</f>
        <v>0</v>
      </c>
      <c r="J8" s="293" t="s">
        <v>202</v>
      </c>
    </row>
    <row r="9" spans="1:13" s="295" customFormat="1" ht="15.95" customHeight="1">
      <c r="A9" s="293"/>
      <c r="B9" s="296"/>
      <c r="C9" s="322"/>
      <c r="D9" s="371"/>
      <c r="E9" s="293"/>
      <c r="F9" s="293"/>
      <c r="G9" s="293"/>
      <c r="H9" s="293"/>
      <c r="I9" s="293"/>
      <c r="J9" s="293"/>
    </row>
    <row r="10" spans="1:13" s="328" customFormat="1" ht="15.95" customHeight="1">
      <c r="A10" s="313"/>
      <c r="B10" s="314" t="s">
        <v>203</v>
      </c>
      <c r="C10" s="313" t="s">
        <v>183</v>
      </c>
      <c r="D10" s="372"/>
      <c r="E10" s="313"/>
      <c r="F10" s="313"/>
      <c r="G10" s="313"/>
      <c r="H10" s="313"/>
      <c r="I10" s="313"/>
      <c r="J10" s="313"/>
    </row>
    <row r="11" spans="1:13" s="295" customFormat="1" ht="15.95" customHeight="1">
      <c r="A11" s="293"/>
      <c r="B11" s="329"/>
      <c r="C11" s="910" t="s">
        <v>1491</v>
      </c>
      <c r="D11" s="911"/>
      <c r="E11" s="911"/>
      <c r="F11" s="912"/>
      <c r="G11" s="924" t="s">
        <v>179</v>
      </c>
      <c r="H11" s="924"/>
      <c r="I11" s="336" t="s">
        <v>204</v>
      </c>
      <c r="J11" s="293"/>
      <c r="K11" s="369"/>
      <c r="L11" s="369"/>
    </row>
    <row r="12" spans="1:13" s="295" customFormat="1" ht="15.95" customHeight="1">
      <c r="A12" s="293"/>
      <c r="B12" s="329"/>
      <c r="C12" s="913"/>
      <c r="D12" s="914"/>
      <c r="E12" s="914"/>
      <c r="F12" s="915"/>
      <c r="G12" s="904"/>
      <c r="H12" s="904"/>
      <c r="I12" s="629"/>
      <c r="J12" s="293" t="s">
        <v>184</v>
      </c>
      <c r="K12" s="369"/>
      <c r="L12" s="369"/>
    </row>
    <row r="13" spans="1:13" s="295" customFormat="1" ht="15.95" customHeight="1">
      <c r="A13" s="293"/>
      <c r="B13" s="329"/>
      <c r="C13" s="913"/>
      <c r="D13" s="914"/>
      <c r="E13" s="914"/>
      <c r="F13" s="915"/>
      <c r="G13" s="905"/>
      <c r="H13" s="907"/>
      <c r="I13" s="629"/>
      <c r="J13" s="293" t="s">
        <v>202</v>
      </c>
      <c r="K13" s="369"/>
      <c r="L13" s="369"/>
    </row>
    <row r="14" spans="1:13" s="295" customFormat="1" ht="15.95" customHeight="1">
      <c r="A14" s="293"/>
      <c r="B14" s="296"/>
      <c r="C14" s="916"/>
      <c r="D14" s="917"/>
      <c r="E14" s="917"/>
      <c r="F14" s="918"/>
      <c r="G14" s="894" t="s">
        <v>182</v>
      </c>
      <c r="H14" s="894"/>
      <c r="I14" s="370">
        <f>SUM(I12:I13)</f>
        <v>0</v>
      </c>
      <c r="J14" s="293" t="s">
        <v>202</v>
      </c>
    </row>
    <row r="15" spans="1:13" s="295" customFormat="1" ht="15.95" customHeight="1">
      <c r="A15" s="293"/>
      <c r="B15" s="296"/>
      <c r="C15" s="293"/>
      <c r="D15" s="293"/>
      <c r="E15" s="293"/>
      <c r="F15" s="293"/>
      <c r="G15" s="342"/>
      <c r="H15" s="342"/>
      <c r="I15" s="343"/>
      <c r="J15" s="293"/>
    </row>
    <row r="16" spans="1:13" s="328" customFormat="1" ht="15.95" customHeight="1">
      <c r="A16" s="313"/>
      <c r="B16" s="314" t="s">
        <v>205</v>
      </c>
      <c r="C16" s="313" t="s">
        <v>185</v>
      </c>
      <c r="D16" s="313"/>
      <c r="E16" s="313"/>
      <c r="F16" s="313"/>
      <c r="G16" s="373"/>
      <c r="H16" s="373"/>
      <c r="I16" s="373"/>
      <c r="J16" s="373"/>
      <c r="K16" s="374"/>
      <c r="L16" s="374"/>
    </row>
    <row r="17" spans="1:11" s="295" customFormat="1" ht="15.95" customHeight="1">
      <c r="A17" s="293"/>
      <c r="B17" s="329"/>
      <c r="C17" s="910" t="s">
        <v>1492</v>
      </c>
      <c r="D17" s="911"/>
      <c r="E17" s="911"/>
      <c r="F17" s="912"/>
      <c r="G17" s="921" t="s">
        <v>179</v>
      </c>
      <c r="H17" s="922"/>
      <c r="I17" s="336" t="s">
        <v>204</v>
      </c>
      <c r="J17" s="293"/>
    </row>
    <row r="18" spans="1:11" s="295" customFormat="1" ht="15.95" customHeight="1">
      <c r="A18" s="293"/>
      <c r="B18" s="296"/>
      <c r="C18" s="913"/>
      <c r="D18" s="914"/>
      <c r="E18" s="914"/>
      <c r="F18" s="915"/>
      <c r="G18" s="919" t="s">
        <v>206</v>
      </c>
      <c r="H18" s="318" t="s">
        <v>208</v>
      </c>
      <c r="I18" s="629"/>
      <c r="J18" s="293" t="s">
        <v>184</v>
      </c>
    </row>
    <row r="19" spans="1:11" s="295" customFormat="1" ht="15.95" customHeight="1">
      <c r="A19" s="293"/>
      <c r="B19" s="296"/>
      <c r="C19" s="913"/>
      <c r="D19" s="914"/>
      <c r="E19" s="914"/>
      <c r="F19" s="915"/>
      <c r="G19" s="920"/>
      <c r="H19" s="318" t="s">
        <v>209</v>
      </c>
      <c r="I19" s="629"/>
      <c r="J19" s="293" t="s">
        <v>184</v>
      </c>
    </row>
    <row r="20" spans="1:11" s="295" customFormat="1" ht="15.95" customHeight="1">
      <c r="A20" s="293"/>
      <c r="B20" s="296"/>
      <c r="C20" s="913"/>
      <c r="D20" s="914"/>
      <c r="E20" s="914"/>
      <c r="F20" s="915"/>
      <c r="G20" s="351"/>
      <c r="H20" s="318" t="s">
        <v>186</v>
      </c>
      <c r="I20" s="629"/>
      <c r="J20" s="293" t="s">
        <v>184</v>
      </c>
    </row>
    <row r="21" spans="1:11" s="295" customFormat="1" ht="15.95" customHeight="1">
      <c r="A21" s="293"/>
      <c r="B21" s="296"/>
      <c r="C21" s="913"/>
      <c r="D21" s="914"/>
      <c r="E21" s="914"/>
      <c r="F21" s="915"/>
      <c r="G21" s="919" t="s">
        <v>207</v>
      </c>
      <c r="H21" s="318" t="s">
        <v>208</v>
      </c>
      <c r="I21" s="629"/>
      <c r="J21" s="293" t="s">
        <v>184</v>
      </c>
    </row>
    <row r="22" spans="1:11" s="295" customFormat="1" ht="15.95" customHeight="1">
      <c r="A22" s="293"/>
      <c r="B22" s="296"/>
      <c r="C22" s="916"/>
      <c r="D22" s="917"/>
      <c r="E22" s="917"/>
      <c r="F22" s="918"/>
      <c r="G22" s="920"/>
      <c r="H22" s="318" t="s">
        <v>209</v>
      </c>
      <c r="I22" s="629"/>
      <c r="J22" s="293" t="s">
        <v>184</v>
      </c>
    </row>
    <row r="23" spans="1:11" s="295" customFormat="1" ht="15.95" customHeight="1">
      <c r="A23" s="293"/>
      <c r="B23" s="296"/>
      <c r="C23" s="293"/>
      <c r="D23" s="293"/>
      <c r="E23" s="293"/>
      <c r="F23" s="293"/>
      <c r="G23" s="293"/>
      <c r="H23" s="293"/>
      <c r="I23" s="293"/>
      <c r="J23" s="293"/>
    </row>
    <row r="24" spans="1:11" s="328" customFormat="1" ht="15.95" customHeight="1">
      <c r="A24" s="313"/>
      <c r="B24" s="314" t="s">
        <v>210</v>
      </c>
      <c r="C24" s="313" t="s">
        <v>187</v>
      </c>
      <c r="D24" s="313"/>
      <c r="E24" s="313"/>
      <c r="F24" s="313"/>
      <c r="G24" s="313"/>
      <c r="H24" s="313"/>
      <c r="I24" s="313"/>
      <c r="J24" s="313"/>
    </row>
    <row r="25" spans="1:11" s="295" customFormat="1" ht="15.95" customHeight="1">
      <c r="A25" s="293"/>
      <c r="B25" s="296"/>
      <c r="C25" s="910" t="s">
        <v>1495</v>
      </c>
      <c r="D25" s="911"/>
      <c r="E25" s="911"/>
      <c r="F25" s="912"/>
      <c r="G25" s="921" t="s">
        <v>179</v>
      </c>
      <c r="H25" s="922"/>
      <c r="I25" s="336" t="s">
        <v>204</v>
      </c>
      <c r="J25" s="293"/>
      <c r="K25" s="369"/>
    </row>
    <row r="26" spans="1:11" s="295" customFormat="1" ht="15.95" customHeight="1">
      <c r="A26" s="293"/>
      <c r="B26" s="296"/>
      <c r="C26" s="913"/>
      <c r="D26" s="914"/>
      <c r="E26" s="914"/>
      <c r="F26" s="915"/>
      <c r="G26" s="898" t="s">
        <v>211</v>
      </c>
      <c r="H26" s="894"/>
      <c r="I26" s="629"/>
      <c r="J26" s="293" t="s">
        <v>184</v>
      </c>
    </row>
    <row r="27" spans="1:11" s="295" customFormat="1" ht="15.95" customHeight="1">
      <c r="A27" s="293"/>
      <c r="B27" s="296"/>
      <c r="C27" s="916"/>
      <c r="D27" s="917"/>
      <c r="E27" s="917"/>
      <c r="F27" s="918"/>
      <c r="G27" s="897" t="s">
        <v>190</v>
      </c>
      <c r="H27" s="898"/>
      <c r="I27" s="629"/>
      <c r="J27" s="293" t="s">
        <v>184</v>
      </c>
    </row>
    <row r="28" spans="1:11" s="295" customFormat="1" ht="15.95" customHeight="1">
      <c r="A28" s="293"/>
      <c r="B28" s="296"/>
      <c r="C28" s="298"/>
      <c r="D28" s="298"/>
      <c r="E28" s="298"/>
      <c r="F28" s="298"/>
      <c r="G28" s="293"/>
      <c r="H28" s="293"/>
      <c r="I28" s="293"/>
      <c r="J28" s="293"/>
    </row>
    <row r="29" spans="1:11" s="307" customFormat="1" ht="16.5" customHeight="1">
      <c r="A29" s="305"/>
      <c r="B29" s="306"/>
      <c r="C29" s="363" t="s">
        <v>307</v>
      </c>
      <c r="D29" s="891" t="s">
        <v>715</v>
      </c>
      <c r="E29" s="891"/>
      <c r="F29" s="308" t="s">
        <v>297</v>
      </c>
      <c r="G29" s="885" t="s">
        <v>716</v>
      </c>
      <c r="H29" s="885"/>
      <c r="I29" s="885"/>
      <c r="J29" s="885"/>
    </row>
    <row r="30" spans="1:11" s="307" customFormat="1" ht="16.5" customHeight="1">
      <c r="A30" s="305"/>
      <c r="B30" s="306"/>
      <c r="C30" s="363" t="s">
        <v>307</v>
      </c>
      <c r="D30" s="885" t="s">
        <v>1218</v>
      </c>
      <c r="E30" s="885"/>
      <c r="F30" s="308" t="s">
        <v>297</v>
      </c>
      <c r="G30" s="885" t="s">
        <v>717</v>
      </c>
      <c r="H30" s="885"/>
      <c r="I30" s="885"/>
      <c r="J30" s="885"/>
    </row>
    <row r="31" spans="1:11" s="307" customFormat="1" ht="16.5" customHeight="1">
      <c r="A31" s="305"/>
      <c r="B31" s="306"/>
      <c r="C31" s="305"/>
      <c r="D31" s="305"/>
      <c r="E31" s="305"/>
      <c r="F31" s="308" t="s">
        <v>303</v>
      </c>
      <c r="G31" s="885" t="s">
        <v>718</v>
      </c>
      <c r="H31" s="885"/>
      <c r="I31" s="885"/>
      <c r="J31" s="885"/>
    </row>
    <row r="32" spans="1:11" s="307" customFormat="1" ht="16.5" customHeight="1">
      <c r="A32" s="305"/>
      <c r="B32" s="306"/>
      <c r="C32" s="305"/>
      <c r="D32" s="305"/>
      <c r="E32" s="305"/>
      <c r="F32" s="308" t="s">
        <v>297</v>
      </c>
      <c r="G32" s="885" t="s">
        <v>719</v>
      </c>
      <c r="H32" s="885"/>
      <c r="I32" s="885"/>
      <c r="J32" s="885"/>
    </row>
    <row r="33" spans="1:10" s="307" customFormat="1" ht="16.5" customHeight="1">
      <c r="A33" s="305"/>
      <c r="B33" s="306"/>
      <c r="C33" s="305"/>
      <c r="D33" s="305"/>
      <c r="E33" s="305"/>
      <c r="F33" s="308" t="s">
        <v>297</v>
      </c>
      <c r="G33" s="909" t="s">
        <v>309</v>
      </c>
      <c r="H33" s="909"/>
      <c r="I33" s="909"/>
      <c r="J33" s="909"/>
    </row>
    <row r="34" spans="1:10" s="295" customFormat="1" ht="13.5" hidden="1" customHeight="1">
      <c r="A34" s="293"/>
      <c r="B34" s="296"/>
      <c r="C34" s="293"/>
      <c r="D34" s="293"/>
      <c r="E34" s="293"/>
      <c r="F34" s="293"/>
      <c r="G34" s="293"/>
      <c r="H34" s="293"/>
      <c r="I34" s="293"/>
      <c r="J34" s="293"/>
    </row>
    <row r="35" spans="1:10" s="886" customFormat="1" ht="15.95" customHeight="1">
      <c r="A35" s="886" t="s">
        <v>952</v>
      </c>
    </row>
  </sheetData>
  <sheetProtection algorithmName="SHA-512" hashValue="cBOgH97s1WtOk0rbwe4aSXo+VFUVDIVpDCJllHqpH2HjAeOgnOTFUFL7bGez9Q254XOSmT62NshfRi++glsrJA==" saltValue="2XAEY6jGqt3/yDoLH1g7Ug==" spinCount="100000" sheet="1" objects="1" scenarios="1"/>
  <mergeCells count="29">
    <mergeCell ref="A35:XFD35"/>
    <mergeCell ref="C2:F8"/>
    <mergeCell ref="G18:G19"/>
    <mergeCell ref="G21:G22"/>
    <mergeCell ref="G17:H17"/>
    <mergeCell ref="G4:H4"/>
    <mergeCell ref="G5:H5"/>
    <mergeCell ref="G6:H6"/>
    <mergeCell ref="G7:H7"/>
    <mergeCell ref="G8:H8"/>
    <mergeCell ref="G12:H12"/>
    <mergeCell ref="G2:H2"/>
    <mergeCell ref="G3:H3"/>
    <mergeCell ref="G27:H27"/>
    <mergeCell ref="G25:H25"/>
    <mergeCell ref="G11:H11"/>
    <mergeCell ref="G14:H14"/>
    <mergeCell ref="C11:F14"/>
    <mergeCell ref="G13:H13"/>
    <mergeCell ref="C17:F22"/>
    <mergeCell ref="C25:F27"/>
    <mergeCell ref="G26:H26"/>
    <mergeCell ref="G32:J32"/>
    <mergeCell ref="G33:J33"/>
    <mergeCell ref="D29:E29"/>
    <mergeCell ref="D30:E30"/>
    <mergeCell ref="G29:J29"/>
    <mergeCell ref="G30:J30"/>
    <mergeCell ref="G31:J31"/>
  </mergeCells>
  <phoneticPr fontId="37"/>
  <dataValidations count="2">
    <dataValidation type="whole" allowBlank="1" showInputMessage="1" showErrorMessage="1" errorTitle="整数で入力してください。" error="整数で入力してください。" sqref="I26:I27 I18:I22 I12:I13 I3:I7">
      <formula1>0</formula1>
      <formula2>9999999999</formula2>
    </dataValidation>
    <dataValidation type="list" allowBlank="1" showInputMessage="1" showErrorMessage="1" sqref="G5:H6">
      <formula1>"　,国民健康保険税（料）,国民年金保険料,後期高齢者医療保険料,介護保険料"</formula1>
    </dataValidation>
  </dataValidations>
  <hyperlinks>
    <hyperlink ref="G29" location="配偶者・扶養親族!A1" display="配偶者・扶養控除を申告する方はこちら。"/>
    <hyperlink ref="G30" location="障害者控除!A1" display="障害者控除を申告する方はこちら。"/>
    <hyperlink ref="G31" location="寡婦・ひとり親・勤労学生!A1" display="寡婦・ひとり親・勤労学生控除を申告する方はこちら。"/>
    <hyperlink ref="G32" location="医療費・寄附金!A1" display="医療費控除・寄附金控除・雑損控除を申告する方はこちら。"/>
    <hyperlink ref="D29" location="収入1!A1" display="給与収入・公的年金収入の入力をする方はこちら。"/>
    <hyperlink ref="D30" location="はじめに!A1" display="個人情報の入力をする方はこちら"/>
    <hyperlink ref="D29:E29" location="給与・年金!A1" display="収入金額を修正する方はこちら。"/>
    <hyperlink ref="D30:E30" location="はじめに!A1" display="個人情報の入力をする方はこちら"/>
    <hyperlink ref="G29:J29" location="配偶者・扶養!A1" display="配偶者・扶養控除を申告する方はこちら。"/>
    <hyperlink ref="G30:J30" location="障害者控除!A1" display="障害者控除を申告する方はこちら。"/>
    <hyperlink ref="G31:J31" location="寡婦・ひとり親・勤労学生!A1" display="寡婦・ひとり親・勤労学生控除を申告する方はこちら。"/>
    <hyperlink ref="G32:J32" location="医療費・寄附金!A1" display="医療費控除・寄附金控除・雑損控除を申告する方はこちら。"/>
    <hyperlink ref="G33:J33" location="'市民税・県民税申告書（印刷）'!A1" display="控除の入力が終了した方はこちら。申告書の印刷に進みます。"/>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88"/>
  <sheetViews>
    <sheetView showGridLines="0" zoomScaleNormal="100" workbookViewId="0">
      <selection activeCell="D21" sqref="D21:G21"/>
    </sheetView>
  </sheetViews>
  <sheetFormatPr defaultColWidth="0" defaultRowHeight="15.95" customHeight="1" zeroHeight="1"/>
  <cols>
    <col min="1" max="1" width="5.125" style="9" customWidth="1"/>
    <col min="2" max="2" width="6.25" style="9" customWidth="1"/>
    <col min="3" max="3" width="20" style="9" customWidth="1"/>
    <col min="4" max="4" width="11.125" style="9" customWidth="1"/>
    <col min="5" max="6" width="8.25" style="9" customWidth="1"/>
    <col min="7" max="7" width="12" style="9" customWidth="1"/>
    <col min="8" max="8" width="14.75" style="9" customWidth="1"/>
    <col min="9" max="9" width="15.125" style="9" customWidth="1"/>
    <col min="10" max="11" width="9" style="9" customWidth="1"/>
    <col min="12" max="13" width="12.625" style="9" customWidth="1"/>
    <col min="14" max="14" width="3.5" style="15" customWidth="1"/>
    <col min="15" max="24" width="9" hidden="1" customWidth="1"/>
    <col min="25" max="16384" width="9" style="9" hidden="1"/>
  </cols>
  <sheetData>
    <row r="1" spans="1:24" s="195" customFormat="1" ht="15.95" customHeight="1">
      <c r="A1" s="313"/>
      <c r="B1" s="314" t="s">
        <v>199</v>
      </c>
      <c r="C1" s="313" t="s">
        <v>212</v>
      </c>
      <c r="D1" s="313"/>
      <c r="E1" s="313"/>
      <c r="F1" s="313"/>
      <c r="G1" s="313"/>
      <c r="H1" s="313"/>
      <c r="I1" s="313"/>
      <c r="J1" s="313"/>
      <c r="K1" s="313"/>
      <c r="L1" s="313"/>
      <c r="M1" s="313"/>
      <c r="N1" s="313"/>
      <c r="O1" s="239"/>
      <c r="P1" s="239"/>
      <c r="Q1" s="239"/>
      <c r="R1" s="239"/>
      <c r="S1" s="239"/>
      <c r="T1" s="239"/>
      <c r="U1" s="239"/>
      <c r="V1" s="239"/>
      <c r="W1" s="239"/>
      <c r="X1" s="239"/>
    </row>
    <row r="2" spans="1:24" ht="15.95" customHeight="1">
      <c r="A2" s="293"/>
      <c r="B2" s="329"/>
      <c r="C2" s="937" t="s">
        <v>1532</v>
      </c>
      <c r="D2" s="937"/>
      <c r="E2" s="937"/>
      <c r="F2" s="937"/>
      <c r="G2" s="937"/>
      <c r="H2" s="937"/>
      <c r="I2" s="937"/>
      <c r="J2" s="937"/>
      <c r="K2" s="937"/>
      <c r="L2" s="937"/>
      <c r="M2" s="937"/>
      <c r="N2" s="375"/>
    </row>
    <row r="3" spans="1:24" ht="15.95" customHeight="1">
      <c r="A3" s="293"/>
      <c r="B3" s="293"/>
      <c r="C3" s="937"/>
      <c r="D3" s="937"/>
      <c r="E3" s="937"/>
      <c r="F3" s="937"/>
      <c r="G3" s="937"/>
      <c r="H3" s="937"/>
      <c r="I3" s="937"/>
      <c r="J3" s="937"/>
      <c r="K3" s="937"/>
      <c r="L3" s="937"/>
      <c r="M3" s="937"/>
      <c r="N3" s="375"/>
    </row>
    <row r="4" spans="1:24" ht="15.95" customHeight="1">
      <c r="A4" s="293"/>
      <c r="B4" s="293"/>
      <c r="C4" s="937"/>
      <c r="D4" s="937"/>
      <c r="E4" s="937"/>
      <c r="F4" s="937"/>
      <c r="G4" s="937"/>
      <c r="H4" s="937"/>
      <c r="I4" s="937"/>
      <c r="J4" s="937"/>
      <c r="K4" s="937"/>
      <c r="L4" s="937"/>
      <c r="M4" s="937"/>
      <c r="N4" s="867"/>
      <c r="O4" s="109"/>
      <c r="P4" s="109"/>
      <c r="Q4" s="109"/>
      <c r="R4" s="109"/>
      <c r="S4" s="109"/>
      <c r="T4" s="109"/>
      <c r="U4" s="109"/>
      <c r="V4" s="109"/>
      <c r="W4" s="109"/>
      <c r="X4" s="109"/>
    </row>
    <row r="5" spans="1:24" ht="15.95" customHeight="1">
      <c r="A5" s="293"/>
      <c r="B5" s="293"/>
      <c r="C5" s="867"/>
      <c r="D5" s="867"/>
      <c r="E5" s="867"/>
      <c r="F5" s="867"/>
      <c r="G5" s="867"/>
      <c r="H5" s="867"/>
      <c r="I5" s="867"/>
      <c r="J5" s="867"/>
      <c r="K5" s="867"/>
      <c r="L5" s="867"/>
      <c r="M5" s="867"/>
      <c r="N5" s="867"/>
      <c r="O5" s="109"/>
      <c r="P5" s="109"/>
      <c r="Q5" s="109"/>
      <c r="R5" s="109"/>
      <c r="S5" s="109"/>
      <c r="T5" s="109"/>
      <c r="U5" s="109"/>
      <c r="V5" s="109"/>
      <c r="W5" s="109"/>
      <c r="X5" s="109"/>
    </row>
    <row r="6" spans="1:24" ht="15.95" customHeight="1">
      <c r="A6" s="293"/>
      <c r="B6" s="293"/>
      <c r="C6" s="376" t="s">
        <v>213</v>
      </c>
      <c r="D6" s="376"/>
      <c r="E6" s="376"/>
      <c r="F6" s="376"/>
      <c r="G6" s="376"/>
      <c r="H6" s="376"/>
      <c r="I6" s="377"/>
      <c r="J6" s="377"/>
      <c r="K6" s="377"/>
      <c r="L6" s="377"/>
      <c r="M6" s="377"/>
      <c r="N6" s="377"/>
    </row>
    <row r="7" spans="1:24" ht="15.95" customHeight="1">
      <c r="A7" s="293"/>
      <c r="B7" s="293"/>
      <c r="C7" s="318" t="s">
        <v>174</v>
      </c>
      <c r="D7" s="904"/>
      <c r="E7" s="904"/>
      <c r="F7" s="904"/>
      <c r="G7" s="904"/>
      <c r="H7" s="293"/>
      <c r="I7" s="293"/>
      <c r="J7" s="378" t="s">
        <v>18</v>
      </c>
      <c r="K7" s="293"/>
      <c r="L7" s="379"/>
      <c r="M7" s="379"/>
      <c r="N7" s="380"/>
    </row>
    <row r="8" spans="1:24" ht="15.95" customHeight="1">
      <c r="A8" s="293"/>
      <c r="B8" s="293"/>
      <c r="C8" s="318" t="s">
        <v>173</v>
      </c>
      <c r="D8" s="927"/>
      <c r="E8" s="927"/>
      <c r="F8" s="927"/>
      <c r="G8" s="927"/>
      <c r="H8" s="293"/>
      <c r="I8" s="293"/>
      <c r="J8" s="903" t="s">
        <v>1056</v>
      </c>
      <c r="K8" s="903"/>
      <c r="L8" s="903"/>
      <c r="M8" s="903"/>
      <c r="N8" s="377"/>
    </row>
    <row r="9" spans="1:24" ht="15.95" customHeight="1">
      <c r="A9" s="293"/>
      <c r="B9" s="293"/>
      <c r="C9" s="939" t="s">
        <v>175</v>
      </c>
      <c r="D9" s="339" t="s">
        <v>198</v>
      </c>
      <c r="E9" s="381" t="s">
        <v>138</v>
      </c>
      <c r="F9" s="382" t="s">
        <v>144</v>
      </c>
      <c r="G9" s="382" t="s">
        <v>140</v>
      </c>
      <c r="H9" s="382" t="s">
        <v>176</v>
      </c>
      <c r="I9" s="293"/>
      <c r="J9" s="903"/>
      <c r="K9" s="903"/>
      <c r="L9" s="903"/>
      <c r="M9" s="903"/>
      <c r="N9" s="377"/>
    </row>
    <row r="10" spans="1:24" ht="15.95" customHeight="1">
      <c r="A10" s="293"/>
      <c r="B10" s="293"/>
      <c r="C10" s="940"/>
      <c r="D10" s="623" t="s">
        <v>702</v>
      </c>
      <c r="E10" s="630"/>
      <c r="F10" s="620"/>
      <c r="G10" s="620"/>
      <c r="H10" s="631"/>
      <c r="I10" s="293" t="s">
        <v>1253</v>
      </c>
      <c r="J10" s="383"/>
      <c r="K10" s="383"/>
      <c r="L10" s="383"/>
      <c r="M10" s="383"/>
      <c r="N10" s="383"/>
    </row>
    <row r="11" spans="1:24" ht="15.95" customHeight="1">
      <c r="A11" s="293"/>
      <c r="B11" s="384"/>
      <c r="C11" s="858" t="s">
        <v>932</v>
      </c>
      <c r="D11" s="942" t="s">
        <v>447</v>
      </c>
      <c r="E11" s="942"/>
      <c r="F11" s="942"/>
      <c r="G11" s="942"/>
      <c r="H11" s="942"/>
      <c r="N11" s="310"/>
      <c r="O11" s="109"/>
      <c r="P11" s="109"/>
      <c r="Q11" s="109"/>
      <c r="R11" s="109"/>
      <c r="S11" s="109"/>
      <c r="T11" s="109"/>
      <c r="U11" s="109"/>
      <c r="V11" s="109"/>
      <c r="W11" s="109"/>
      <c r="X11" s="109"/>
    </row>
    <row r="12" spans="1:24" s="835" customFormat="1" ht="15.95" customHeight="1">
      <c r="A12" s="297"/>
      <c r="B12" s="297"/>
      <c r="C12" s="868" t="s">
        <v>252</v>
      </c>
      <c r="D12" s="941"/>
      <c r="E12" s="941"/>
      <c r="F12" s="941"/>
      <c r="G12" s="941"/>
      <c r="H12" s="941"/>
      <c r="I12" s="297"/>
      <c r="J12" s="297"/>
      <c r="K12" s="297"/>
      <c r="L12" s="297"/>
      <c r="M12" s="297"/>
      <c r="N12" s="833"/>
      <c r="O12" s="144"/>
      <c r="P12" s="144"/>
      <c r="Q12" s="144"/>
      <c r="R12" s="144"/>
      <c r="S12" s="144"/>
      <c r="T12" s="144"/>
      <c r="U12" s="144"/>
      <c r="V12" s="144"/>
      <c r="W12" s="144"/>
      <c r="X12" s="144"/>
    </row>
    <row r="13" spans="1:24" s="835" customFormat="1" ht="15.95" customHeight="1">
      <c r="A13" s="297"/>
      <c r="B13" s="297"/>
      <c r="C13" s="868" t="s">
        <v>1530</v>
      </c>
      <c r="D13" s="936" t="s">
        <v>1536</v>
      </c>
      <c r="E13" s="936"/>
      <c r="F13" s="936"/>
      <c r="G13" s="936"/>
      <c r="H13" s="936"/>
      <c r="I13" s="297"/>
      <c r="J13" s="297"/>
      <c r="K13" s="297"/>
      <c r="L13" s="297"/>
      <c r="M13" s="297"/>
      <c r="N13" s="833"/>
      <c r="O13" s="144"/>
      <c r="P13" s="144"/>
      <c r="Q13" s="144"/>
      <c r="R13" s="144"/>
      <c r="S13" s="144"/>
      <c r="T13" s="144"/>
      <c r="U13" s="144"/>
      <c r="V13" s="144"/>
      <c r="W13" s="144"/>
      <c r="X13" s="144"/>
    </row>
    <row r="14" spans="1:24" ht="15.95" customHeight="1">
      <c r="A14" s="293"/>
      <c r="B14" s="293"/>
      <c r="C14" s="926" t="str">
        <f>計算用資料!F55</f>
        <v/>
      </c>
      <c r="D14" s="926"/>
      <c r="E14" s="926"/>
      <c r="F14" s="926"/>
      <c r="G14" s="926"/>
      <c r="H14" s="926"/>
      <c r="I14" s="926"/>
      <c r="J14" s="926"/>
      <c r="K14" s="926"/>
      <c r="L14" s="926"/>
      <c r="M14" s="926"/>
      <c r="N14" s="926"/>
    </row>
    <row r="15" spans="1:24" s="195" customFormat="1" ht="15.95" customHeight="1">
      <c r="A15" s="313"/>
      <c r="B15" s="314" t="s">
        <v>203</v>
      </c>
      <c r="C15" s="327" t="s">
        <v>214</v>
      </c>
      <c r="D15" s="289"/>
      <c r="E15" s="289"/>
      <c r="F15" s="313"/>
      <c r="G15" s="313"/>
      <c r="H15" s="313"/>
      <c r="I15" s="313"/>
      <c r="J15" s="313"/>
      <c r="K15" s="313"/>
      <c r="L15" s="313"/>
      <c r="M15" s="313"/>
      <c r="N15" s="313"/>
      <c r="O15" s="239"/>
      <c r="P15" s="239"/>
      <c r="Q15" s="239"/>
      <c r="R15" s="239"/>
      <c r="S15" s="239"/>
      <c r="T15" s="239"/>
      <c r="U15" s="239"/>
      <c r="V15" s="239"/>
      <c r="W15" s="239"/>
      <c r="X15" s="239"/>
    </row>
    <row r="16" spans="1:24" ht="15.95" customHeight="1">
      <c r="A16" s="293"/>
      <c r="B16" s="329"/>
      <c r="C16" s="932" t="s">
        <v>1494</v>
      </c>
      <c r="D16" s="932"/>
      <c r="E16" s="932"/>
      <c r="F16" s="932"/>
      <c r="G16" s="932"/>
      <c r="H16" s="932"/>
      <c r="I16" s="932"/>
      <c r="J16" s="932"/>
      <c r="K16" s="932"/>
      <c r="L16" s="932"/>
      <c r="M16" s="932"/>
      <c r="N16" s="932"/>
    </row>
    <row r="17" spans="1:24" ht="15.95" customHeight="1">
      <c r="A17" s="293"/>
      <c r="B17" s="329"/>
      <c r="C17" s="932"/>
      <c r="D17" s="932"/>
      <c r="E17" s="932"/>
      <c r="F17" s="932"/>
      <c r="G17" s="932"/>
      <c r="H17" s="932"/>
      <c r="I17" s="932"/>
      <c r="J17" s="932"/>
      <c r="K17" s="932"/>
      <c r="L17" s="932"/>
      <c r="M17" s="932"/>
      <c r="N17" s="932"/>
    </row>
    <row r="18" spans="1:24" ht="51.75" customHeight="1">
      <c r="A18" s="293"/>
      <c r="B18" s="329"/>
      <c r="C18" s="932" t="s">
        <v>1531</v>
      </c>
      <c r="D18" s="932"/>
      <c r="E18" s="932"/>
      <c r="F18" s="932"/>
      <c r="G18" s="932"/>
      <c r="H18" s="932"/>
      <c r="I18" s="932"/>
      <c r="J18" s="932"/>
      <c r="K18" s="932"/>
      <c r="L18" s="932"/>
      <c r="M18" s="932"/>
      <c r="N18" s="932"/>
      <c r="O18" s="109"/>
      <c r="P18" s="109"/>
      <c r="Q18" s="109"/>
      <c r="R18" s="109"/>
      <c r="S18" s="109"/>
      <c r="T18" s="109"/>
      <c r="U18" s="109"/>
      <c r="V18" s="109"/>
      <c r="W18" s="109"/>
      <c r="X18" s="109"/>
    </row>
    <row r="19" spans="1:24" ht="15.95" customHeight="1">
      <c r="A19" s="293"/>
      <c r="B19" s="329" t="s">
        <v>225</v>
      </c>
      <c r="C19" s="318" t="s">
        <v>174</v>
      </c>
      <c r="D19" s="904"/>
      <c r="E19" s="904"/>
      <c r="F19" s="904"/>
      <c r="G19" s="904"/>
      <c r="H19" s="934" t="s">
        <v>175</v>
      </c>
      <c r="I19" s="829" t="s">
        <v>198</v>
      </c>
      <c r="J19" s="831" t="s">
        <v>138</v>
      </c>
      <c r="K19" s="831" t="s">
        <v>144</v>
      </c>
      <c r="L19" s="831" t="s">
        <v>140</v>
      </c>
      <c r="M19" s="829" t="s">
        <v>217</v>
      </c>
      <c r="N19" s="342"/>
    </row>
    <row r="20" spans="1:24" ht="15.95" customHeight="1">
      <c r="A20" s="293"/>
      <c r="B20" s="384"/>
      <c r="C20" s="318" t="s">
        <v>173</v>
      </c>
      <c r="D20" s="927"/>
      <c r="E20" s="927"/>
      <c r="F20" s="927"/>
      <c r="G20" s="927"/>
      <c r="H20" s="934"/>
      <c r="I20" s="620" t="s">
        <v>702</v>
      </c>
      <c r="J20" s="620"/>
      <c r="K20" s="620"/>
      <c r="L20" s="620"/>
      <c r="M20" s="830"/>
      <c r="N20" s="342"/>
    </row>
    <row r="21" spans="1:24" ht="15.95" customHeight="1">
      <c r="A21" s="293"/>
      <c r="B21" s="384"/>
      <c r="C21" s="866" t="s">
        <v>932</v>
      </c>
      <c r="D21" s="928" t="s">
        <v>447</v>
      </c>
      <c r="E21" s="929"/>
      <c r="F21" s="929"/>
      <c r="G21" s="929"/>
      <c r="H21" s="385" t="s">
        <v>252</v>
      </c>
      <c r="I21" s="933"/>
      <c r="J21" s="933"/>
      <c r="K21" s="933"/>
      <c r="L21" s="933"/>
      <c r="M21" s="933"/>
      <c r="N21" s="310"/>
    </row>
    <row r="22" spans="1:24" s="835" customFormat="1" ht="15.95" customHeight="1">
      <c r="A22" s="297"/>
      <c r="B22" s="297"/>
      <c r="C22" s="868" t="s">
        <v>1530</v>
      </c>
      <c r="D22" s="925" t="s">
        <v>1535</v>
      </c>
      <c r="E22" s="925"/>
      <c r="F22" s="925"/>
      <c r="G22" s="925"/>
      <c r="H22" s="839"/>
      <c r="I22" s="297"/>
      <c r="J22" s="297"/>
      <c r="K22" s="297"/>
      <c r="L22" s="297"/>
      <c r="M22" s="297"/>
      <c r="N22" s="833"/>
      <c r="O22" s="144"/>
      <c r="P22" s="144"/>
      <c r="Q22" s="144"/>
      <c r="R22" s="144"/>
      <c r="S22" s="144"/>
      <c r="T22" s="144"/>
      <c r="U22" s="144"/>
      <c r="V22" s="144"/>
      <c r="W22" s="144"/>
      <c r="X22" s="144"/>
    </row>
    <row r="23" spans="1:24" s="835" customFormat="1" ht="15.95" customHeight="1">
      <c r="A23" s="297"/>
      <c r="B23" s="297"/>
      <c r="C23" s="838"/>
      <c r="D23" s="926"/>
      <c r="E23" s="926"/>
      <c r="F23" s="926"/>
      <c r="G23" s="926"/>
      <c r="H23" s="926"/>
      <c r="I23" s="297"/>
      <c r="J23" s="297"/>
      <c r="K23" s="297"/>
      <c r="L23" s="297"/>
      <c r="M23" s="297"/>
      <c r="N23" s="833"/>
      <c r="O23" s="144"/>
      <c r="P23" s="144"/>
      <c r="Q23" s="144"/>
      <c r="R23" s="144"/>
      <c r="S23" s="144"/>
      <c r="T23" s="144"/>
      <c r="U23" s="144"/>
      <c r="V23" s="144"/>
      <c r="W23" s="144"/>
      <c r="X23" s="144"/>
    </row>
    <row r="24" spans="1:24" ht="15.95" customHeight="1">
      <c r="A24" s="293"/>
      <c r="B24" s="384" t="s">
        <v>226</v>
      </c>
      <c r="C24" s="318" t="s">
        <v>174</v>
      </c>
      <c r="D24" s="904"/>
      <c r="E24" s="904"/>
      <c r="F24" s="904"/>
      <c r="G24" s="904"/>
      <c r="H24" s="934" t="s">
        <v>175</v>
      </c>
      <c r="I24" s="318" t="s">
        <v>198</v>
      </c>
      <c r="J24" s="382" t="s">
        <v>138</v>
      </c>
      <c r="K24" s="382" t="s">
        <v>144</v>
      </c>
      <c r="L24" s="382" t="s">
        <v>140</v>
      </c>
      <c r="M24" s="318" t="s">
        <v>217</v>
      </c>
      <c r="N24" s="342"/>
    </row>
    <row r="25" spans="1:24" ht="15.95" customHeight="1">
      <c r="A25" s="293"/>
      <c r="B25" s="384"/>
      <c r="C25" s="318" t="s">
        <v>173</v>
      </c>
      <c r="D25" s="927"/>
      <c r="E25" s="927"/>
      <c r="F25" s="927"/>
      <c r="G25" s="927"/>
      <c r="H25" s="934"/>
      <c r="I25" s="620" t="s">
        <v>702</v>
      </c>
      <c r="J25" s="620"/>
      <c r="K25" s="620"/>
      <c r="L25" s="620"/>
      <c r="M25" s="632"/>
      <c r="N25" s="342"/>
    </row>
    <row r="26" spans="1:24" ht="15.95" customHeight="1">
      <c r="A26" s="293"/>
      <c r="B26" s="384"/>
      <c r="C26" s="318" t="s">
        <v>932</v>
      </c>
      <c r="D26" s="928" t="s">
        <v>447</v>
      </c>
      <c r="E26" s="929"/>
      <c r="F26" s="929"/>
      <c r="G26" s="929"/>
      <c r="H26" s="385" t="s">
        <v>963</v>
      </c>
      <c r="I26" s="933"/>
      <c r="J26" s="933"/>
      <c r="K26" s="933"/>
      <c r="L26" s="933"/>
      <c r="M26" s="933"/>
      <c r="N26" s="310"/>
      <c r="O26" s="109"/>
      <c r="P26" s="109"/>
      <c r="Q26" s="109"/>
      <c r="R26" s="109"/>
      <c r="S26" s="109"/>
      <c r="T26" s="109"/>
      <c r="U26" s="109"/>
      <c r="V26" s="109"/>
      <c r="W26" s="109"/>
      <c r="X26" s="109"/>
    </row>
    <row r="27" spans="1:24" s="835" customFormat="1" ht="15.95" customHeight="1">
      <c r="A27" s="297"/>
      <c r="B27" s="297"/>
      <c r="C27" s="840" t="s">
        <v>1530</v>
      </c>
      <c r="D27" s="925" t="s">
        <v>1535</v>
      </c>
      <c r="E27" s="925"/>
      <c r="F27" s="925"/>
      <c r="G27" s="925"/>
      <c r="H27" s="839"/>
      <c r="I27" s="297"/>
      <c r="J27" s="297"/>
      <c r="K27" s="297"/>
      <c r="L27" s="297"/>
      <c r="M27" s="297"/>
      <c r="N27" s="833"/>
      <c r="O27" s="144"/>
      <c r="P27" s="144"/>
      <c r="Q27" s="144"/>
      <c r="R27" s="144"/>
      <c r="S27" s="144"/>
      <c r="T27" s="144"/>
      <c r="U27" s="144"/>
      <c r="V27" s="144"/>
      <c r="W27" s="144"/>
      <c r="X27" s="144"/>
    </row>
    <row r="28" spans="1:24" s="835" customFormat="1" ht="15.95" customHeight="1">
      <c r="A28" s="297"/>
      <c r="B28" s="297"/>
      <c r="C28" s="297"/>
      <c r="D28" s="297"/>
      <c r="E28" s="297"/>
      <c r="F28" s="297"/>
      <c r="G28" s="297"/>
      <c r="H28" s="297"/>
      <c r="I28" s="297"/>
      <c r="J28" s="297"/>
      <c r="K28" s="297"/>
      <c r="L28" s="297"/>
      <c r="M28" s="297"/>
      <c r="N28" s="833"/>
      <c r="O28" s="144"/>
      <c r="P28" s="144"/>
      <c r="Q28" s="144"/>
      <c r="R28" s="144"/>
      <c r="S28" s="144"/>
      <c r="T28" s="144"/>
      <c r="U28" s="144"/>
      <c r="V28" s="144"/>
      <c r="W28" s="144"/>
      <c r="X28" s="144"/>
    </row>
    <row r="29" spans="1:24" ht="15.95" customHeight="1">
      <c r="A29" s="293"/>
      <c r="B29" s="384" t="s">
        <v>227</v>
      </c>
      <c r="C29" s="318" t="s">
        <v>174</v>
      </c>
      <c r="D29" s="904"/>
      <c r="E29" s="904"/>
      <c r="F29" s="904"/>
      <c r="G29" s="904"/>
      <c r="H29" s="934" t="s">
        <v>175</v>
      </c>
      <c r="I29" s="318" t="s">
        <v>198</v>
      </c>
      <c r="J29" s="382" t="s">
        <v>138</v>
      </c>
      <c r="K29" s="382" t="s">
        <v>144</v>
      </c>
      <c r="L29" s="382" t="s">
        <v>140</v>
      </c>
      <c r="M29" s="318" t="s">
        <v>217</v>
      </c>
      <c r="N29" s="342"/>
    </row>
    <row r="30" spans="1:24" ht="15.95" customHeight="1">
      <c r="A30" s="293"/>
      <c r="B30" s="384"/>
      <c r="C30" s="318" t="s">
        <v>173</v>
      </c>
      <c r="D30" s="927"/>
      <c r="E30" s="927"/>
      <c r="F30" s="927"/>
      <c r="G30" s="927"/>
      <c r="H30" s="934"/>
      <c r="I30" s="620" t="s">
        <v>702</v>
      </c>
      <c r="J30" s="620"/>
      <c r="K30" s="620"/>
      <c r="L30" s="620"/>
      <c r="M30" s="632"/>
      <c r="N30" s="342"/>
    </row>
    <row r="31" spans="1:24" ht="15.95" customHeight="1">
      <c r="A31" s="293"/>
      <c r="B31" s="384"/>
      <c r="C31" s="318" t="s">
        <v>932</v>
      </c>
      <c r="D31" s="928" t="s">
        <v>447</v>
      </c>
      <c r="E31" s="929"/>
      <c r="F31" s="929"/>
      <c r="G31" s="929"/>
      <c r="H31" s="385" t="s">
        <v>963</v>
      </c>
      <c r="I31" s="933"/>
      <c r="J31" s="933"/>
      <c r="K31" s="933"/>
      <c r="L31" s="933"/>
      <c r="M31" s="933"/>
      <c r="N31" s="310"/>
      <c r="O31" s="109"/>
      <c r="P31" s="109"/>
      <c r="Q31" s="109"/>
      <c r="R31" s="109"/>
      <c r="S31" s="109"/>
      <c r="T31" s="109"/>
      <c r="U31" s="109"/>
      <c r="V31" s="109"/>
      <c r="W31" s="109"/>
      <c r="X31" s="109"/>
    </row>
    <row r="32" spans="1:24" s="835" customFormat="1" ht="15.95" customHeight="1">
      <c r="A32" s="297"/>
      <c r="B32" s="297"/>
      <c r="C32" s="868" t="s">
        <v>1530</v>
      </c>
      <c r="D32" s="925" t="s">
        <v>1535</v>
      </c>
      <c r="E32" s="925"/>
      <c r="F32" s="925"/>
      <c r="G32" s="925"/>
      <c r="H32" s="839"/>
      <c r="I32" s="297"/>
      <c r="J32" s="297"/>
      <c r="K32" s="297"/>
      <c r="L32" s="297"/>
      <c r="M32" s="297"/>
      <c r="N32" s="833"/>
      <c r="O32" s="144"/>
      <c r="P32" s="144"/>
      <c r="Q32" s="144"/>
      <c r="R32" s="144"/>
      <c r="S32" s="144"/>
      <c r="T32" s="144"/>
      <c r="U32" s="144"/>
      <c r="V32" s="144"/>
      <c r="W32" s="144"/>
      <c r="X32" s="144"/>
    </row>
    <row r="33" spans="1:24" s="835" customFormat="1" ht="15.95" customHeight="1">
      <c r="A33" s="297"/>
      <c r="B33" s="297"/>
      <c r="C33" s="297"/>
      <c r="D33" s="297"/>
      <c r="E33" s="297"/>
      <c r="F33" s="297"/>
      <c r="G33" s="297"/>
      <c r="H33" s="297"/>
      <c r="I33" s="297"/>
      <c r="J33" s="297"/>
      <c r="K33" s="297"/>
      <c r="L33" s="297"/>
      <c r="M33" s="297"/>
      <c r="N33" s="833"/>
      <c r="O33" s="144"/>
      <c r="P33" s="144"/>
      <c r="Q33" s="144"/>
      <c r="R33" s="144"/>
      <c r="S33" s="144"/>
      <c r="T33" s="144"/>
      <c r="U33" s="144"/>
      <c r="V33" s="144"/>
      <c r="W33" s="144"/>
      <c r="X33" s="144"/>
    </row>
    <row r="34" spans="1:24" ht="15.95" customHeight="1">
      <c r="A34" s="293"/>
      <c r="B34" s="384" t="s">
        <v>228</v>
      </c>
      <c r="C34" s="318" t="s">
        <v>174</v>
      </c>
      <c r="D34" s="904"/>
      <c r="E34" s="904"/>
      <c r="F34" s="904"/>
      <c r="G34" s="904"/>
      <c r="H34" s="934" t="s">
        <v>175</v>
      </c>
      <c r="I34" s="318" t="s">
        <v>198</v>
      </c>
      <c r="J34" s="382" t="s">
        <v>138</v>
      </c>
      <c r="K34" s="382" t="s">
        <v>144</v>
      </c>
      <c r="L34" s="382" t="s">
        <v>140</v>
      </c>
      <c r="M34" s="318" t="s">
        <v>217</v>
      </c>
      <c r="N34" s="342"/>
    </row>
    <row r="35" spans="1:24" ht="15.95" customHeight="1">
      <c r="A35" s="293"/>
      <c r="B35" s="384"/>
      <c r="C35" s="318" t="s">
        <v>173</v>
      </c>
      <c r="D35" s="927"/>
      <c r="E35" s="927"/>
      <c r="F35" s="927"/>
      <c r="G35" s="927"/>
      <c r="H35" s="934"/>
      <c r="I35" s="620" t="s">
        <v>702</v>
      </c>
      <c r="J35" s="620"/>
      <c r="K35" s="620"/>
      <c r="L35" s="620"/>
      <c r="M35" s="632"/>
      <c r="N35" s="342"/>
    </row>
    <row r="36" spans="1:24" ht="15.95" customHeight="1">
      <c r="A36" s="293"/>
      <c r="B36" s="384"/>
      <c r="C36" s="318" t="s">
        <v>932</v>
      </c>
      <c r="D36" s="928" t="s">
        <v>447</v>
      </c>
      <c r="E36" s="929"/>
      <c r="F36" s="929"/>
      <c r="G36" s="929"/>
      <c r="H36" s="385" t="s">
        <v>252</v>
      </c>
      <c r="I36" s="933"/>
      <c r="J36" s="933"/>
      <c r="K36" s="933"/>
      <c r="L36" s="933"/>
      <c r="M36" s="933"/>
      <c r="N36" s="310"/>
      <c r="O36" s="109"/>
      <c r="P36" s="109"/>
      <c r="Q36" s="109"/>
      <c r="R36" s="109"/>
      <c r="S36" s="109"/>
      <c r="T36" s="109"/>
      <c r="U36" s="109"/>
      <c r="V36" s="109"/>
      <c r="W36" s="109"/>
      <c r="X36" s="109"/>
    </row>
    <row r="37" spans="1:24" s="835" customFormat="1" ht="15.95" customHeight="1">
      <c r="A37" s="297"/>
      <c r="B37" s="297"/>
      <c r="C37" s="868" t="s">
        <v>1530</v>
      </c>
      <c r="D37" s="925" t="s">
        <v>1535</v>
      </c>
      <c r="E37" s="925"/>
      <c r="F37" s="925"/>
      <c r="G37" s="925"/>
      <c r="H37" s="839"/>
      <c r="I37" s="297"/>
      <c r="J37" s="297"/>
      <c r="K37" s="297"/>
      <c r="L37" s="297"/>
      <c r="M37" s="297"/>
      <c r="N37" s="833"/>
      <c r="O37" s="144"/>
      <c r="P37" s="144"/>
      <c r="Q37" s="144"/>
      <c r="R37" s="144"/>
      <c r="S37" s="144"/>
      <c r="T37" s="144"/>
      <c r="U37" s="144"/>
      <c r="V37" s="144"/>
      <c r="W37" s="144"/>
      <c r="X37" s="144"/>
    </row>
    <row r="38" spans="1:24" ht="15.95" customHeight="1">
      <c r="A38" s="293"/>
      <c r="B38" s="293"/>
      <c r="C38" s="293"/>
      <c r="D38" s="841"/>
      <c r="E38" s="841"/>
      <c r="F38" s="841"/>
      <c r="G38" s="841"/>
      <c r="H38" s="293"/>
      <c r="I38" s="293"/>
      <c r="J38" s="293"/>
      <c r="K38" s="293"/>
      <c r="L38" s="293"/>
      <c r="M38" s="293"/>
      <c r="N38" s="310"/>
    </row>
    <row r="39" spans="1:24" s="195" customFormat="1" ht="15.95" customHeight="1">
      <c r="A39" s="313"/>
      <c r="B39" s="314" t="s">
        <v>215</v>
      </c>
      <c r="C39" s="289" t="s">
        <v>216</v>
      </c>
      <c r="D39" s="313"/>
      <c r="E39" s="313"/>
      <c r="F39" s="313"/>
      <c r="G39" s="313"/>
      <c r="H39" s="313"/>
      <c r="I39" s="313"/>
      <c r="J39" s="313"/>
      <c r="K39" s="313"/>
      <c r="L39" s="313"/>
      <c r="M39" s="313"/>
      <c r="N39" s="313"/>
    </row>
    <row r="40" spans="1:24" ht="15.95" customHeight="1">
      <c r="A40" s="293"/>
      <c r="B40" s="293"/>
      <c r="C40" s="932" t="s">
        <v>1493</v>
      </c>
      <c r="D40" s="932"/>
      <c r="E40" s="932"/>
      <c r="F40" s="932"/>
      <c r="G40" s="932"/>
      <c r="H40" s="932"/>
      <c r="I40" s="932"/>
      <c r="J40" s="932"/>
      <c r="K40" s="932"/>
      <c r="L40" s="932"/>
      <c r="M40" s="932"/>
      <c r="N40" s="377"/>
    </row>
    <row r="41" spans="1:24" ht="15.95" customHeight="1">
      <c r="A41" s="293"/>
      <c r="B41" s="293"/>
      <c r="C41" s="932"/>
      <c r="D41" s="932"/>
      <c r="E41" s="932"/>
      <c r="F41" s="932"/>
      <c r="G41" s="932"/>
      <c r="H41" s="932"/>
      <c r="I41" s="932"/>
      <c r="J41" s="932"/>
      <c r="K41" s="932"/>
      <c r="L41" s="932"/>
      <c r="M41" s="932"/>
      <c r="N41" s="386"/>
    </row>
    <row r="42" spans="1:24" ht="15.95" customHeight="1">
      <c r="A42" s="293"/>
      <c r="B42" s="293"/>
      <c r="C42" s="932"/>
      <c r="D42" s="932"/>
      <c r="E42" s="932"/>
      <c r="F42" s="932"/>
      <c r="G42" s="932"/>
      <c r="H42" s="932"/>
      <c r="I42" s="932"/>
      <c r="J42" s="932"/>
      <c r="K42" s="932"/>
      <c r="L42" s="932"/>
      <c r="M42" s="932"/>
      <c r="N42" s="716"/>
      <c r="O42" s="109"/>
      <c r="P42" s="109"/>
      <c r="Q42" s="109"/>
      <c r="R42" s="109"/>
      <c r="S42" s="109"/>
      <c r="T42" s="109"/>
      <c r="U42" s="109"/>
      <c r="V42" s="109"/>
      <c r="W42" s="109"/>
      <c r="X42" s="109"/>
    </row>
    <row r="43" spans="1:24" ht="15.95" customHeight="1">
      <c r="A43" s="293"/>
      <c r="B43" s="293"/>
      <c r="C43" s="930" t="s">
        <v>1432</v>
      </c>
      <c r="D43" s="930"/>
      <c r="E43" s="930"/>
      <c r="F43" s="930"/>
      <c r="G43" s="930"/>
      <c r="H43" s="930"/>
      <c r="I43" s="930"/>
      <c r="J43" s="930"/>
      <c r="K43" s="930"/>
      <c r="L43" s="930"/>
      <c r="M43" s="930"/>
      <c r="N43" s="386"/>
      <c r="O43" s="109"/>
      <c r="P43" s="109"/>
      <c r="Q43" s="109"/>
      <c r="R43" s="109"/>
      <c r="S43" s="109"/>
      <c r="T43" s="109"/>
      <c r="U43" s="109"/>
      <c r="V43" s="109"/>
      <c r="W43" s="109"/>
      <c r="X43" s="109"/>
    </row>
    <row r="44" spans="1:24" ht="15.95" customHeight="1">
      <c r="A44" s="293"/>
      <c r="B44" s="352" t="s">
        <v>224</v>
      </c>
      <c r="C44" s="318" t="s">
        <v>174</v>
      </c>
      <c r="D44" s="904"/>
      <c r="E44" s="904"/>
      <c r="F44" s="904"/>
      <c r="G44" s="904"/>
      <c r="H44" s="934" t="s">
        <v>175</v>
      </c>
      <c r="I44" s="318" t="s">
        <v>198</v>
      </c>
      <c r="J44" s="382" t="s">
        <v>138</v>
      </c>
      <c r="K44" s="382" t="s">
        <v>144</v>
      </c>
      <c r="L44" s="382" t="s">
        <v>140</v>
      </c>
      <c r="M44" s="318" t="s">
        <v>217</v>
      </c>
      <c r="N44" s="342"/>
    </row>
    <row r="45" spans="1:24" ht="15.95" customHeight="1">
      <c r="A45" s="293"/>
      <c r="B45" s="352"/>
      <c r="C45" s="318" t="s">
        <v>173</v>
      </c>
      <c r="D45" s="927"/>
      <c r="E45" s="927"/>
      <c r="F45" s="927"/>
      <c r="G45" s="927"/>
      <c r="H45" s="934"/>
      <c r="I45" s="620" t="s">
        <v>702</v>
      </c>
      <c r="J45" s="620"/>
      <c r="K45" s="620"/>
      <c r="L45" s="620"/>
      <c r="M45" s="632"/>
      <c r="N45" s="342"/>
    </row>
    <row r="46" spans="1:24" ht="15.95" customHeight="1">
      <c r="A46" s="293"/>
      <c r="B46" s="384"/>
      <c r="C46" s="318" t="s">
        <v>932</v>
      </c>
      <c r="D46" s="928" t="s">
        <v>447</v>
      </c>
      <c r="E46" s="929"/>
      <c r="F46" s="929"/>
      <c r="G46" s="935"/>
      <c r="H46" s="385" t="s">
        <v>963</v>
      </c>
      <c r="I46" s="933"/>
      <c r="J46" s="933"/>
      <c r="K46" s="933"/>
      <c r="L46" s="933"/>
      <c r="M46" s="933"/>
      <c r="N46" s="310"/>
      <c r="O46" s="109"/>
      <c r="P46" s="109"/>
      <c r="Q46" s="109"/>
      <c r="R46" s="109"/>
      <c r="S46" s="109"/>
      <c r="T46" s="109"/>
      <c r="U46" s="109"/>
      <c r="V46" s="109"/>
      <c r="W46" s="109"/>
      <c r="X46" s="109"/>
    </row>
    <row r="47" spans="1:24" s="835" customFormat="1" ht="15.95" customHeight="1">
      <c r="A47" s="297"/>
      <c r="B47" s="834"/>
      <c r="C47" s="840" t="s">
        <v>1514</v>
      </c>
      <c r="D47" s="925" t="s">
        <v>1534</v>
      </c>
      <c r="E47" s="925"/>
      <c r="F47" s="925"/>
      <c r="G47" s="925"/>
      <c r="H47" s="832"/>
      <c r="I47" s="926"/>
      <c r="J47" s="926"/>
      <c r="K47" s="926"/>
      <c r="L47" s="926"/>
      <c r="M47" s="926"/>
      <c r="N47" s="833"/>
      <c r="O47" s="144"/>
      <c r="P47" s="144"/>
      <c r="Q47" s="144"/>
      <c r="R47" s="144"/>
      <c r="S47" s="144"/>
      <c r="T47" s="144"/>
      <c r="U47" s="144"/>
      <c r="V47" s="144"/>
      <c r="W47" s="144"/>
      <c r="X47" s="144"/>
    </row>
    <row r="48" spans="1:24" s="15" customFormat="1" ht="15.95" customHeight="1">
      <c r="A48" s="310"/>
      <c r="B48" s="366"/>
      <c r="C48" s="342"/>
      <c r="D48" s="387"/>
      <c r="E48" s="387"/>
      <c r="F48" s="387"/>
      <c r="G48" s="387"/>
      <c r="H48" s="387"/>
      <c r="I48" s="931" t="str">
        <f>計算用資料!E88</f>
        <v/>
      </c>
      <c r="J48" s="931"/>
      <c r="K48" s="931"/>
      <c r="L48" s="931"/>
      <c r="M48" s="931"/>
      <c r="N48" s="310"/>
    </row>
    <row r="49" spans="1:24" ht="15.95" customHeight="1">
      <c r="A49" s="293"/>
      <c r="B49" s="352" t="s">
        <v>229</v>
      </c>
      <c r="C49" s="318" t="s">
        <v>174</v>
      </c>
      <c r="D49" s="904"/>
      <c r="E49" s="904"/>
      <c r="F49" s="904"/>
      <c r="G49" s="904"/>
      <c r="H49" s="934" t="s">
        <v>175</v>
      </c>
      <c r="I49" s="318" t="s">
        <v>198</v>
      </c>
      <c r="J49" s="382" t="s">
        <v>138</v>
      </c>
      <c r="K49" s="382" t="s">
        <v>144</v>
      </c>
      <c r="L49" s="382" t="s">
        <v>140</v>
      </c>
      <c r="M49" s="318" t="s">
        <v>217</v>
      </c>
      <c r="N49" s="342"/>
    </row>
    <row r="50" spans="1:24" ht="15.95" customHeight="1">
      <c r="A50" s="293"/>
      <c r="B50" s="352"/>
      <c r="C50" s="318" t="s">
        <v>173</v>
      </c>
      <c r="D50" s="927"/>
      <c r="E50" s="927"/>
      <c r="F50" s="927"/>
      <c r="G50" s="927"/>
      <c r="H50" s="934"/>
      <c r="I50" s="620" t="s">
        <v>702</v>
      </c>
      <c r="J50" s="620"/>
      <c r="K50" s="620"/>
      <c r="L50" s="620"/>
      <c r="M50" s="632"/>
      <c r="N50" s="342"/>
    </row>
    <row r="51" spans="1:24" ht="15.95" customHeight="1">
      <c r="A51" s="293"/>
      <c r="B51" s="384"/>
      <c r="C51" s="318" t="s">
        <v>932</v>
      </c>
      <c r="D51" s="928" t="s">
        <v>447</v>
      </c>
      <c r="E51" s="929"/>
      <c r="F51" s="929"/>
      <c r="G51" s="929"/>
      <c r="H51" s="385" t="s">
        <v>963</v>
      </c>
      <c r="I51" s="933"/>
      <c r="J51" s="933"/>
      <c r="K51" s="933"/>
      <c r="L51" s="933"/>
      <c r="M51" s="933"/>
      <c r="N51" s="310"/>
      <c r="O51" s="109"/>
      <c r="P51" s="109"/>
      <c r="Q51" s="109"/>
      <c r="R51" s="109"/>
      <c r="S51" s="109"/>
      <c r="T51" s="109"/>
      <c r="U51" s="109"/>
      <c r="V51" s="109"/>
      <c r="W51" s="109"/>
      <c r="X51" s="109"/>
    </row>
    <row r="52" spans="1:24" s="835" customFormat="1" ht="15.95" customHeight="1">
      <c r="A52" s="297"/>
      <c r="B52" s="834"/>
      <c r="C52" s="840" t="s">
        <v>1514</v>
      </c>
      <c r="D52" s="925" t="s">
        <v>1534</v>
      </c>
      <c r="E52" s="925"/>
      <c r="F52" s="925"/>
      <c r="G52" s="925"/>
      <c r="H52" s="832"/>
      <c r="I52" s="926"/>
      <c r="J52" s="926"/>
      <c r="K52" s="926"/>
      <c r="L52" s="926"/>
      <c r="M52" s="926"/>
      <c r="N52" s="833"/>
      <c r="O52" s="144"/>
      <c r="P52" s="144"/>
      <c r="Q52" s="144"/>
      <c r="R52" s="144"/>
      <c r="S52" s="144"/>
      <c r="T52" s="144"/>
      <c r="U52" s="144"/>
      <c r="V52" s="144"/>
      <c r="W52" s="144"/>
      <c r="X52" s="144"/>
    </row>
    <row r="53" spans="1:24" s="15" customFormat="1" ht="15.95" customHeight="1">
      <c r="A53" s="310"/>
      <c r="B53" s="366"/>
      <c r="C53" s="342"/>
      <c r="D53" s="387"/>
      <c r="E53" s="387"/>
      <c r="F53" s="387"/>
      <c r="G53" s="387"/>
      <c r="H53" s="387"/>
      <c r="I53" s="931" t="str">
        <f>計算用資料!E89</f>
        <v/>
      </c>
      <c r="J53" s="931"/>
      <c r="K53" s="931"/>
      <c r="L53" s="931"/>
      <c r="M53" s="931"/>
      <c r="N53" s="310"/>
    </row>
    <row r="54" spans="1:24" ht="15.95" customHeight="1">
      <c r="A54" s="293"/>
      <c r="B54" s="352" t="s">
        <v>230</v>
      </c>
      <c r="C54" s="318" t="s">
        <v>174</v>
      </c>
      <c r="D54" s="904"/>
      <c r="E54" s="904"/>
      <c r="F54" s="904"/>
      <c r="G54" s="904"/>
      <c r="H54" s="934" t="s">
        <v>175</v>
      </c>
      <c r="I54" s="318" t="s">
        <v>198</v>
      </c>
      <c r="J54" s="382" t="s">
        <v>138</v>
      </c>
      <c r="K54" s="382" t="s">
        <v>144</v>
      </c>
      <c r="L54" s="382" t="s">
        <v>140</v>
      </c>
      <c r="M54" s="318" t="s">
        <v>217</v>
      </c>
      <c r="N54" s="342"/>
    </row>
    <row r="55" spans="1:24" ht="15.95" customHeight="1">
      <c r="A55" s="293"/>
      <c r="B55" s="352"/>
      <c r="C55" s="318" t="s">
        <v>173</v>
      </c>
      <c r="D55" s="927"/>
      <c r="E55" s="927"/>
      <c r="F55" s="927"/>
      <c r="G55" s="927"/>
      <c r="H55" s="934"/>
      <c r="I55" s="620" t="s">
        <v>702</v>
      </c>
      <c r="J55" s="620"/>
      <c r="K55" s="620"/>
      <c r="L55" s="620"/>
      <c r="M55" s="632"/>
      <c r="N55" s="342"/>
    </row>
    <row r="56" spans="1:24" ht="15.95" customHeight="1">
      <c r="A56" s="293"/>
      <c r="B56" s="384"/>
      <c r="C56" s="318" t="s">
        <v>932</v>
      </c>
      <c r="D56" s="928" t="s">
        <v>447</v>
      </c>
      <c r="E56" s="929"/>
      <c r="F56" s="929"/>
      <c r="G56" s="929"/>
      <c r="H56" s="385" t="s">
        <v>252</v>
      </c>
      <c r="I56" s="933"/>
      <c r="J56" s="933"/>
      <c r="K56" s="933"/>
      <c r="L56" s="933"/>
      <c r="M56" s="933"/>
      <c r="N56" s="310"/>
      <c r="O56" s="109"/>
      <c r="P56" s="109"/>
      <c r="Q56" s="109"/>
      <c r="R56" s="109"/>
      <c r="S56" s="109"/>
      <c r="T56" s="109"/>
      <c r="U56" s="109"/>
      <c r="V56" s="109"/>
      <c r="W56" s="109"/>
      <c r="X56" s="109"/>
    </row>
    <row r="57" spans="1:24" s="835" customFormat="1" ht="15.95" customHeight="1">
      <c r="A57" s="297"/>
      <c r="B57" s="834"/>
      <c r="C57" s="840" t="s">
        <v>1514</v>
      </c>
      <c r="D57" s="925" t="s">
        <v>1534</v>
      </c>
      <c r="E57" s="925"/>
      <c r="F57" s="925"/>
      <c r="G57" s="925"/>
      <c r="H57" s="832"/>
      <c r="I57" s="926"/>
      <c r="J57" s="926"/>
      <c r="K57" s="926"/>
      <c r="L57" s="926"/>
      <c r="M57" s="926"/>
      <c r="N57" s="833"/>
      <c r="O57" s="144"/>
      <c r="P57" s="144"/>
      <c r="Q57" s="144"/>
      <c r="R57" s="144"/>
      <c r="S57" s="144"/>
      <c r="T57" s="144"/>
      <c r="U57" s="144"/>
      <c r="V57" s="144"/>
      <c r="W57" s="144"/>
      <c r="X57" s="144"/>
    </row>
    <row r="58" spans="1:24" s="15" customFormat="1" ht="15.95" customHeight="1">
      <c r="A58" s="310"/>
      <c r="B58" s="366"/>
      <c r="C58" s="342"/>
      <c r="D58" s="388"/>
      <c r="E58" s="388"/>
      <c r="F58" s="388"/>
      <c r="G58" s="388"/>
      <c r="H58" s="388"/>
      <c r="I58" s="938" t="str">
        <f>計算用資料!E90</f>
        <v/>
      </c>
      <c r="J58" s="938"/>
      <c r="K58" s="938"/>
      <c r="L58" s="938"/>
      <c r="M58" s="938"/>
      <c r="N58" s="310"/>
    </row>
    <row r="59" spans="1:24" s="75" customFormat="1" ht="16.5" customHeight="1">
      <c r="A59" s="305"/>
      <c r="B59" s="308" t="s">
        <v>307</v>
      </c>
      <c r="C59" s="885" t="s">
        <v>720</v>
      </c>
      <c r="D59" s="885"/>
      <c r="E59" s="885"/>
      <c r="F59" s="885"/>
      <c r="G59" s="885"/>
      <c r="H59" s="308" t="s">
        <v>297</v>
      </c>
      <c r="I59" s="885" t="s">
        <v>717</v>
      </c>
      <c r="J59" s="885"/>
      <c r="K59" s="885"/>
      <c r="L59" s="885"/>
      <c r="M59" s="885"/>
      <c r="N59" s="305"/>
      <c r="O59" s="77"/>
      <c r="P59" s="77"/>
      <c r="Q59" s="77"/>
      <c r="R59" s="77"/>
      <c r="S59" s="77"/>
      <c r="T59" s="77"/>
      <c r="U59" s="77"/>
      <c r="V59" s="77"/>
      <c r="W59" s="77"/>
      <c r="X59" s="77"/>
    </row>
    <row r="60" spans="1:24" s="75" customFormat="1" ht="16.5" customHeight="1">
      <c r="A60" s="305"/>
      <c r="B60" s="363" t="s">
        <v>307</v>
      </c>
      <c r="C60" s="885" t="s">
        <v>715</v>
      </c>
      <c r="D60" s="885"/>
      <c r="E60" s="885"/>
      <c r="F60" s="885"/>
      <c r="G60" s="885"/>
      <c r="H60" s="308" t="s">
        <v>303</v>
      </c>
      <c r="I60" s="885" t="s">
        <v>718</v>
      </c>
      <c r="J60" s="885"/>
      <c r="K60" s="885"/>
      <c r="L60" s="885"/>
      <c r="M60" s="885"/>
      <c r="N60" s="305"/>
      <c r="O60" s="77"/>
      <c r="P60" s="77"/>
      <c r="Q60" s="77"/>
      <c r="R60" s="77"/>
      <c r="S60" s="77"/>
      <c r="T60" s="77"/>
      <c r="U60" s="77"/>
      <c r="V60" s="77"/>
      <c r="W60" s="77"/>
      <c r="X60" s="77"/>
    </row>
    <row r="61" spans="1:24" s="75" customFormat="1" ht="16.5" customHeight="1">
      <c r="A61" s="305"/>
      <c r="B61" s="363" t="s">
        <v>307</v>
      </c>
      <c r="C61" s="885" t="s">
        <v>1218</v>
      </c>
      <c r="D61" s="885"/>
      <c r="E61" s="885"/>
      <c r="F61" s="885"/>
      <c r="G61" s="885"/>
      <c r="H61" s="308" t="s">
        <v>297</v>
      </c>
      <c r="I61" s="885" t="s">
        <v>719</v>
      </c>
      <c r="J61" s="885"/>
      <c r="K61" s="885"/>
      <c r="L61" s="885"/>
      <c r="M61" s="885"/>
      <c r="N61" s="305"/>
      <c r="O61" s="77"/>
      <c r="P61" s="77"/>
      <c r="Q61" s="77"/>
      <c r="R61" s="77"/>
      <c r="S61" s="77"/>
      <c r="T61" s="77"/>
      <c r="U61" s="77"/>
      <c r="V61" s="77"/>
      <c r="W61" s="77"/>
      <c r="X61" s="77"/>
    </row>
    <row r="62" spans="1:24" s="75" customFormat="1" ht="16.5" customHeight="1">
      <c r="A62" s="305"/>
      <c r="B62" s="305"/>
      <c r="C62" s="305"/>
      <c r="D62" s="305"/>
      <c r="E62" s="305"/>
      <c r="F62" s="305"/>
      <c r="G62" s="305"/>
      <c r="H62" s="308" t="s">
        <v>297</v>
      </c>
      <c r="I62" s="909" t="s">
        <v>309</v>
      </c>
      <c r="J62" s="909"/>
      <c r="K62" s="909"/>
      <c r="L62" s="909"/>
      <c r="M62" s="909"/>
      <c r="N62" s="305"/>
      <c r="O62" s="77"/>
      <c r="P62" s="77"/>
      <c r="Q62" s="77"/>
      <c r="R62" s="77"/>
      <c r="S62" s="77"/>
      <c r="T62" s="77"/>
      <c r="U62" s="77"/>
      <c r="V62" s="77"/>
      <c r="W62" s="77"/>
      <c r="X62" s="77"/>
    </row>
    <row r="63" spans="1:24" s="15" customFormat="1" ht="16.5" hidden="1" customHeight="1">
      <c r="A63" s="310"/>
      <c r="B63" s="310"/>
      <c r="C63" s="310"/>
      <c r="D63" s="310"/>
      <c r="E63" s="310"/>
      <c r="F63" s="310"/>
      <c r="G63" s="310"/>
      <c r="H63" s="310"/>
      <c r="I63" s="310"/>
      <c r="J63" s="310"/>
      <c r="K63" s="310"/>
      <c r="L63" s="310"/>
      <c r="M63" s="310"/>
      <c r="N63" s="310"/>
      <c r="O63" s="29"/>
      <c r="P63" s="29"/>
      <c r="Q63" s="29"/>
      <c r="R63" s="29"/>
      <c r="S63" s="29"/>
      <c r="T63" s="29"/>
      <c r="U63" s="29"/>
      <c r="V63" s="29"/>
      <c r="W63" s="29"/>
      <c r="X63" s="29"/>
    </row>
    <row r="64" spans="1:24" s="267" customFormat="1" ht="15.95" customHeight="1">
      <c r="A64" s="886" t="s">
        <v>952</v>
      </c>
      <c r="B64" s="886"/>
      <c r="C64" s="886"/>
      <c r="D64" s="886"/>
      <c r="E64" s="886"/>
      <c r="F64" s="886"/>
      <c r="G64" s="886"/>
      <c r="H64" s="886"/>
      <c r="I64" s="886"/>
      <c r="J64" s="886"/>
      <c r="K64" s="886"/>
      <c r="L64" s="886"/>
      <c r="M64" s="886"/>
      <c r="N64" s="886"/>
      <c r="O64" s="266"/>
      <c r="P64" s="266"/>
      <c r="Q64" s="266"/>
    </row>
    <row r="65" spans="1:14" ht="15.95" hidden="1" customHeight="1">
      <c r="A65" s="164"/>
      <c r="B65" s="164"/>
      <c r="C65" s="164"/>
      <c r="D65" s="164"/>
      <c r="E65" s="164"/>
      <c r="F65" s="164"/>
      <c r="G65" s="164"/>
      <c r="H65" s="164"/>
      <c r="I65" s="164"/>
      <c r="J65" s="164"/>
      <c r="K65" s="164"/>
      <c r="L65" s="164"/>
      <c r="M65" s="164"/>
      <c r="N65" s="104"/>
    </row>
    <row r="66" spans="1:14" ht="15.95" hidden="1" customHeight="1">
      <c r="A66" s="164"/>
      <c r="B66" s="164"/>
      <c r="C66" s="164"/>
      <c r="D66" s="164"/>
      <c r="E66" s="164"/>
      <c r="F66" s="164"/>
      <c r="G66" s="164"/>
      <c r="H66" s="164"/>
      <c r="I66" s="164"/>
      <c r="J66" s="164"/>
      <c r="K66" s="164"/>
      <c r="L66" s="164"/>
      <c r="M66" s="164"/>
      <c r="N66" s="104"/>
    </row>
    <row r="67" spans="1:14" ht="15.95" hidden="1" customHeight="1">
      <c r="A67" s="164"/>
      <c r="B67" s="164"/>
      <c r="C67" s="164"/>
      <c r="D67" s="164"/>
      <c r="E67" s="164"/>
      <c r="F67" s="164"/>
      <c r="G67" s="164"/>
      <c r="H67" s="164"/>
      <c r="I67" s="164"/>
      <c r="J67" s="164"/>
      <c r="K67" s="164"/>
      <c r="L67" s="164"/>
      <c r="M67" s="164"/>
      <c r="N67" s="104"/>
    </row>
    <row r="68" spans="1:14" ht="15.95" hidden="1" customHeight="1">
      <c r="A68" s="164"/>
      <c r="B68" s="164"/>
      <c r="C68" s="164"/>
      <c r="D68" s="164"/>
      <c r="E68" s="164"/>
      <c r="F68" s="164"/>
      <c r="G68" s="164"/>
      <c r="H68" s="164"/>
      <c r="I68" s="164"/>
      <c r="J68" s="164"/>
      <c r="K68" s="164"/>
      <c r="L68" s="164"/>
      <c r="M68" s="164"/>
      <c r="N68" s="104"/>
    </row>
    <row r="69" spans="1:14" ht="15.95" hidden="1" customHeight="1">
      <c r="A69" s="164"/>
      <c r="B69" s="164"/>
      <c r="C69" s="164"/>
      <c r="D69" s="164"/>
      <c r="E69" s="164"/>
      <c r="F69" s="164"/>
      <c r="G69" s="164"/>
      <c r="H69" s="164"/>
      <c r="I69" s="164"/>
      <c r="J69" s="164"/>
      <c r="K69" s="164"/>
      <c r="L69" s="164"/>
      <c r="M69" s="164"/>
      <c r="N69" s="104"/>
    </row>
    <row r="70" spans="1:14" ht="15.95" hidden="1" customHeight="1">
      <c r="A70" s="164"/>
      <c r="B70" s="164"/>
      <c r="C70" s="164"/>
      <c r="D70" s="164"/>
      <c r="E70" s="164"/>
      <c r="F70" s="164"/>
      <c r="G70" s="164"/>
      <c r="H70" s="164"/>
      <c r="I70" s="164"/>
      <c r="J70" s="164"/>
      <c r="K70" s="164"/>
      <c r="L70" s="164"/>
      <c r="M70" s="164"/>
      <c r="N70" s="104"/>
    </row>
    <row r="71" spans="1:14" ht="15.95" hidden="1" customHeight="1">
      <c r="A71" s="164"/>
      <c r="B71" s="164"/>
      <c r="C71" s="164"/>
      <c r="D71" s="164"/>
      <c r="E71" s="164"/>
      <c r="F71" s="164"/>
      <c r="G71" s="164"/>
      <c r="H71" s="164"/>
      <c r="I71" s="164"/>
      <c r="J71" s="164"/>
      <c r="K71" s="164"/>
      <c r="L71" s="164"/>
      <c r="M71" s="164"/>
      <c r="N71" s="104"/>
    </row>
    <row r="72" spans="1:14" ht="15.95" hidden="1" customHeight="1">
      <c r="A72" s="164"/>
      <c r="B72" s="164"/>
      <c r="C72" s="164"/>
      <c r="D72" s="164"/>
      <c r="E72" s="164"/>
      <c r="F72" s="164"/>
      <c r="G72" s="164"/>
      <c r="H72" s="164"/>
      <c r="I72" s="164"/>
      <c r="J72" s="164"/>
      <c r="K72" s="164"/>
      <c r="L72" s="164"/>
      <c r="M72" s="164"/>
      <c r="N72" s="104"/>
    </row>
    <row r="73" spans="1:14" ht="15.95" hidden="1" customHeight="1">
      <c r="A73" s="164"/>
      <c r="B73" s="164"/>
      <c r="C73" s="164"/>
      <c r="D73" s="164"/>
      <c r="E73" s="164"/>
      <c r="F73" s="164"/>
      <c r="G73" s="164"/>
      <c r="H73" s="164"/>
      <c r="I73" s="164"/>
      <c r="J73" s="164"/>
      <c r="K73" s="164"/>
      <c r="L73" s="164"/>
      <c r="M73" s="164"/>
      <c r="N73" s="104"/>
    </row>
    <row r="74" spans="1:14" ht="15.95" hidden="1" customHeight="1">
      <c r="A74" s="164"/>
      <c r="B74" s="164"/>
      <c r="C74" s="164"/>
      <c r="D74" s="164"/>
      <c r="E74" s="164"/>
      <c r="F74" s="164"/>
      <c r="G74" s="164"/>
      <c r="H74" s="164"/>
      <c r="I74" s="164"/>
      <c r="J74" s="164"/>
      <c r="K74" s="164"/>
      <c r="L74" s="164"/>
      <c r="M74" s="164"/>
      <c r="N74" s="104"/>
    </row>
    <row r="75" spans="1:14" ht="15.95" hidden="1" customHeight="1">
      <c r="A75" s="164"/>
      <c r="B75" s="164"/>
      <c r="C75" s="164"/>
      <c r="D75" s="164"/>
      <c r="E75" s="164"/>
      <c r="F75" s="164"/>
      <c r="G75" s="164"/>
      <c r="H75" s="164"/>
      <c r="I75" s="164"/>
      <c r="J75" s="164"/>
      <c r="K75" s="164"/>
      <c r="L75" s="164"/>
      <c r="M75" s="164"/>
      <c r="N75" s="104"/>
    </row>
    <row r="76" spans="1:14" ht="15.95" hidden="1" customHeight="1">
      <c r="A76" s="164"/>
      <c r="B76" s="164"/>
      <c r="C76" s="164"/>
      <c r="D76" s="164"/>
      <c r="E76" s="164"/>
      <c r="F76" s="164"/>
      <c r="G76" s="164"/>
      <c r="H76" s="164"/>
      <c r="I76" s="164"/>
      <c r="J76" s="164"/>
      <c r="K76" s="164"/>
      <c r="L76" s="164"/>
      <c r="M76" s="164"/>
      <c r="N76" s="104"/>
    </row>
    <row r="77" spans="1:14" ht="15.95" hidden="1" customHeight="1">
      <c r="A77" s="164"/>
      <c r="B77" s="164"/>
      <c r="C77" s="164"/>
      <c r="D77" s="164"/>
      <c r="E77" s="164"/>
      <c r="F77" s="164"/>
      <c r="G77" s="164"/>
      <c r="H77" s="164"/>
      <c r="I77" s="164"/>
      <c r="J77" s="164"/>
      <c r="K77" s="164"/>
      <c r="L77" s="164"/>
      <c r="M77" s="164"/>
      <c r="N77" s="104"/>
    </row>
    <row r="78" spans="1:14" ht="15.95" hidden="1" customHeight="1">
      <c r="A78" s="164"/>
      <c r="B78" s="164"/>
      <c r="C78" s="164"/>
      <c r="D78" s="164"/>
      <c r="E78" s="164"/>
      <c r="F78" s="164"/>
      <c r="G78" s="164"/>
      <c r="H78" s="164"/>
      <c r="I78" s="164"/>
      <c r="J78" s="164"/>
      <c r="K78" s="164"/>
      <c r="L78" s="164"/>
      <c r="M78" s="164"/>
      <c r="N78" s="104"/>
    </row>
    <row r="79" spans="1:14" ht="15.95" hidden="1" customHeight="1">
      <c r="A79" s="164"/>
      <c r="B79" s="164"/>
      <c r="C79" s="164"/>
      <c r="D79" s="164"/>
      <c r="E79" s="164"/>
      <c r="F79" s="164"/>
      <c r="G79" s="164"/>
      <c r="H79" s="164"/>
      <c r="I79" s="164"/>
      <c r="J79" s="164"/>
      <c r="K79" s="164"/>
      <c r="L79" s="164"/>
      <c r="M79" s="164"/>
      <c r="N79" s="104"/>
    </row>
    <row r="80" spans="1:14" ht="15.95" hidden="1" customHeight="1">
      <c r="A80" s="164"/>
      <c r="B80" s="164"/>
      <c r="C80" s="164"/>
      <c r="D80" s="164"/>
      <c r="E80" s="164"/>
      <c r="F80" s="164"/>
      <c r="G80" s="164"/>
      <c r="H80" s="164"/>
      <c r="I80" s="164"/>
      <c r="J80" s="164"/>
      <c r="K80" s="164"/>
      <c r="L80" s="164"/>
      <c r="M80" s="164"/>
      <c r="N80" s="104"/>
    </row>
    <row r="81" spans="1:14" ht="15.95" hidden="1" customHeight="1">
      <c r="A81" s="164"/>
      <c r="B81" s="164"/>
      <c r="C81" s="164"/>
      <c r="D81" s="164"/>
      <c r="E81" s="164"/>
      <c r="F81" s="164"/>
      <c r="G81" s="164"/>
      <c r="H81" s="164"/>
      <c r="I81" s="164"/>
      <c r="J81" s="164"/>
      <c r="K81" s="164"/>
      <c r="L81" s="164"/>
      <c r="M81" s="164"/>
      <c r="N81" s="104"/>
    </row>
    <row r="82" spans="1:14" ht="15.95" hidden="1" customHeight="1">
      <c r="A82" s="164"/>
      <c r="B82" s="164"/>
      <c r="C82" s="164"/>
      <c r="D82" s="164"/>
      <c r="E82" s="164"/>
      <c r="F82" s="164"/>
      <c r="G82" s="164"/>
      <c r="H82" s="164"/>
      <c r="I82" s="164"/>
      <c r="J82" s="164"/>
      <c r="K82" s="164"/>
      <c r="L82" s="164"/>
      <c r="M82" s="164"/>
      <c r="N82" s="104"/>
    </row>
    <row r="83" spans="1:14" ht="15.95" hidden="1" customHeight="1">
      <c r="A83" s="164"/>
      <c r="B83" s="164"/>
      <c r="C83" s="164"/>
      <c r="D83" s="164"/>
      <c r="E83" s="164"/>
      <c r="F83" s="164"/>
      <c r="G83" s="164"/>
      <c r="H83" s="164"/>
      <c r="I83" s="164"/>
      <c r="J83" s="164"/>
      <c r="K83" s="164"/>
      <c r="L83" s="164"/>
      <c r="M83" s="164"/>
      <c r="N83" s="104"/>
    </row>
    <row r="84" spans="1:14" ht="15.95" hidden="1" customHeight="1">
      <c r="A84" s="164"/>
      <c r="B84" s="164"/>
      <c r="C84" s="164"/>
      <c r="D84" s="164"/>
      <c r="E84" s="164"/>
      <c r="F84" s="164"/>
      <c r="G84" s="164"/>
      <c r="H84" s="164"/>
      <c r="I84" s="164"/>
      <c r="J84" s="164"/>
      <c r="K84" s="164"/>
      <c r="L84" s="164"/>
      <c r="M84" s="164"/>
      <c r="N84" s="104"/>
    </row>
    <row r="85" spans="1:14" ht="15.95" hidden="1" customHeight="1">
      <c r="A85" s="164"/>
      <c r="B85" s="164"/>
      <c r="C85" s="164"/>
      <c r="D85" s="164"/>
      <c r="E85" s="164"/>
      <c r="F85" s="164"/>
      <c r="G85" s="164"/>
      <c r="H85" s="164"/>
      <c r="I85" s="164"/>
      <c r="J85" s="164"/>
      <c r="K85" s="164"/>
      <c r="L85" s="164"/>
      <c r="M85" s="164"/>
      <c r="N85" s="104"/>
    </row>
    <row r="86" spans="1:14" ht="15.95" hidden="1" customHeight="1">
      <c r="A86" s="164"/>
      <c r="B86" s="164"/>
      <c r="C86" s="164"/>
      <c r="D86" s="164"/>
      <c r="E86" s="164"/>
      <c r="F86" s="164"/>
      <c r="G86" s="164"/>
      <c r="H86" s="164"/>
      <c r="I86" s="164"/>
      <c r="J86" s="164"/>
      <c r="K86" s="164"/>
      <c r="L86" s="164"/>
      <c r="M86" s="164"/>
      <c r="N86" s="104"/>
    </row>
    <row r="87" spans="1:14" ht="15.95" hidden="1" customHeight="1">
      <c r="A87" s="164"/>
      <c r="B87" s="164"/>
      <c r="C87" s="164"/>
      <c r="D87" s="164"/>
      <c r="E87" s="164"/>
      <c r="F87" s="164"/>
      <c r="G87" s="164"/>
      <c r="H87" s="164"/>
      <c r="I87" s="164"/>
      <c r="J87" s="164"/>
      <c r="K87" s="164"/>
      <c r="L87" s="164"/>
      <c r="M87" s="164"/>
      <c r="N87" s="104"/>
    </row>
    <row r="88" spans="1:14" ht="15.95" hidden="1" customHeight="1">
      <c r="A88" s="164"/>
      <c r="B88" s="164"/>
      <c r="C88" s="164"/>
      <c r="D88" s="164"/>
      <c r="E88" s="164"/>
      <c r="F88" s="164"/>
      <c r="G88" s="164"/>
      <c r="H88" s="164"/>
      <c r="I88" s="164"/>
      <c r="J88" s="164"/>
      <c r="K88" s="164"/>
      <c r="L88" s="164"/>
      <c r="M88" s="164"/>
      <c r="N88" s="104"/>
    </row>
    <row r="89" spans="1:14" ht="15.95" hidden="1" customHeight="1">
      <c r="A89" s="164"/>
      <c r="B89" s="164"/>
      <c r="C89" s="164"/>
      <c r="D89" s="164"/>
      <c r="E89" s="164"/>
      <c r="F89" s="164"/>
      <c r="G89" s="164"/>
      <c r="H89" s="164"/>
      <c r="I89" s="164"/>
      <c r="J89" s="164"/>
      <c r="K89" s="164"/>
      <c r="L89" s="164"/>
      <c r="M89" s="164"/>
      <c r="N89" s="104"/>
    </row>
    <row r="90" spans="1:14" ht="15.95" hidden="1" customHeight="1">
      <c r="A90" s="164"/>
      <c r="B90" s="164"/>
      <c r="C90" s="164"/>
      <c r="D90" s="164"/>
      <c r="E90" s="164"/>
      <c r="F90" s="164"/>
      <c r="G90" s="164"/>
      <c r="H90" s="164"/>
      <c r="I90" s="164"/>
      <c r="J90" s="164"/>
      <c r="K90" s="164"/>
      <c r="L90" s="164"/>
      <c r="M90" s="164"/>
      <c r="N90" s="104"/>
    </row>
    <row r="91" spans="1:14" ht="15.95" hidden="1" customHeight="1">
      <c r="A91" s="164"/>
      <c r="B91" s="164"/>
      <c r="C91" s="164"/>
      <c r="D91" s="164"/>
      <c r="E91" s="164"/>
      <c r="F91" s="164"/>
      <c r="G91" s="164"/>
      <c r="H91" s="164"/>
      <c r="I91" s="164"/>
      <c r="J91" s="164"/>
      <c r="K91" s="164"/>
      <c r="L91" s="164"/>
      <c r="M91" s="164"/>
      <c r="N91" s="104"/>
    </row>
    <row r="92" spans="1:14" ht="15.95" hidden="1" customHeight="1">
      <c r="A92" s="164"/>
      <c r="B92" s="164"/>
      <c r="C92" s="164"/>
      <c r="D92" s="164"/>
      <c r="E92" s="164"/>
      <c r="F92" s="164"/>
      <c r="G92" s="164"/>
      <c r="H92" s="164"/>
      <c r="I92" s="164"/>
      <c r="J92" s="164"/>
      <c r="K92" s="164"/>
      <c r="L92" s="164"/>
      <c r="M92" s="164"/>
      <c r="N92" s="104"/>
    </row>
    <row r="93" spans="1:14" ht="15.95" hidden="1" customHeight="1">
      <c r="A93" s="164"/>
      <c r="B93" s="164"/>
      <c r="C93" s="164"/>
      <c r="D93" s="164"/>
      <c r="E93" s="164"/>
      <c r="F93" s="164"/>
      <c r="G93" s="164"/>
      <c r="H93" s="164"/>
      <c r="I93" s="164"/>
      <c r="J93" s="164"/>
      <c r="K93" s="164"/>
      <c r="L93" s="164"/>
      <c r="M93" s="164"/>
      <c r="N93" s="104"/>
    </row>
    <row r="94" spans="1:14" ht="15.95" hidden="1" customHeight="1">
      <c r="A94" s="164"/>
      <c r="B94" s="164"/>
      <c r="C94" s="164"/>
      <c r="D94" s="164"/>
      <c r="E94" s="164"/>
      <c r="F94" s="164"/>
      <c r="G94" s="164"/>
      <c r="H94" s="164"/>
      <c r="I94" s="164"/>
      <c r="J94" s="164"/>
      <c r="K94" s="164"/>
      <c r="L94" s="164"/>
      <c r="M94" s="164"/>
      <c r="N94" s="104"/>
    </row>
    <row r="95" spans="1:14" ht="15.95" hidden="1" customHeight="1">
      <c r="A95" s="164"/>
      <c r="B95" s="164"/>
      <c r="C95" s="164"/>
      <c r="D95" s="164"/>
      <c r="E95" s="164"/>
      <c r="F95" s="164"/>
      <c r="G95" s="164"/>
      <c r="H95" s="164"/>
      <c r="I95" s="164"/>
      <c r="J95" s="164"/>
      <c r="K95" s="164"/>
      <c r="L95" s="164"/>
      <c r="M95" s="164"/>
      <c r="N95" s="104"/>
    </row>
    <row r="96" spans="1:14" ht="15.95" hidden="1" customHeight="1">
      <c r="A96" s="164"/>
      <c r="B96" s="164"/>
      <c r="C96" s="164"/>
      <c r="D96" s="164"/>
      <c r="E96" s="164"/>
      <c r="F96" s="164"/>
      <c r="G96" s="164"/>
      <c r="H96" s="164"/>
      <c r="I96" s="164"/>
      <c r="J96" s="164"/>
      <c r="K96" s="164"/>
      <c r="L96" s="164"/>
      <c r="M96" s="164"/>
      <c r="N96" s="104"/>
    </row>
    <row r="97" spans="1:14" ht="15.95" hidden="1" customHeight="1">
      <c r="A97" s="164"/>
      <c r="B97" s="164"/>
      <c r="C97" s="164"/>
      <c r="D97" s="164"/>
      <c r="E97" s="164"/>
      <c r="F97" s="164"/>
      <c r="G97" s="164"/>
      <c r="H97" s="164"/>
      <c r="I97" s="164"/>
      <c r="J97" s="164"/>
      <c r="K97" s="164"/>
      <c r="L97" s="164"/>
      <c r="M97" s="164"/>
      <c r="N97" s="104"/>
    </row>
    <row r="98" spans="1:14" ht="15.95" hidden="1" customHeight="1">
      <c r="A98" s="164"/>
      <c r="B98" s="164"/>
      <c r="C98" s="164"/>
      <c r="D98" s="164"/>
      <c r="E98" s="164"/>
      <c r="F98" s="164"/>
      <c r="G98" s="164"/>
      <c r="H98" s="164"/>
      <c r="I98" s="164"/>
      <c r="J98" s="164"/>
      <c r="K98" s="164"/>
      <c r="L98" s="164"/>
      <c r="M98" s="164"/>
      <c r="N98" s="104"/>
    </row>
    <row r="99" spans="1:14" ht="15.95" hidden="1" customHeight="1">
      <c r="A99" s="164"/>
      <c r="B99" s="164"/>
      <c r="C99" s="164"/>
      <c r="D99" s="164"/>
      <c r="E99" s="164"/>
      <c r="F99" s="164"/>
      <c r="G99" s="164"/>
      <c r="H99" s="164"/>
      <c r="I99" s="164"/>
      <c r="J99" s="164"/>
      <c r="K99" s="164"/>
      <c r="L99" s="164"/>
      <c r="M99" s="164"/>
      <c r="N99" s="104"/>
    </row>
    <row r="100" spans="1:14" ht="15.95" hidden="1" customHeight="1">
      <c r="A100" s="164"/>
      <c r="B100" s="164"/>
      <c r="C100" s="164"/>
      <c r="D100" s="164"/>
      <c r="E100" s="164"/>
      <c r="F100" s="164"/>
      <c r="G100" s="164"/>
      <c r="H100" s="164"/>
      <c r="I100" s="164"/>
      <c r="J100" s="164"/>
      <c r="K100" s="164"/>
      <c r="L100" s="164"/>
      <c r="M100" s="164"/>
      <c r="N100" s="104"/>
    </row>
    <row r="101" spans="1:14" ht="15.95" hidden="1" customHeight="1">
      <c r="A101" s="164"/>
      <c r="B101" s="164"/>
      <c r="C101" s="164"/>
      <c r="D101" s="164"/>
      <c r="E101" s="164"/>
      <c r="F101" s="164"/>
      <c r="G101" s="164"/>
      <c r="H101" s="164"/>
      <c r="I101" s="164"/>
      <c r="J101" s="164"/>
      <c r="K101" s="164"/>
      <c r="L101" s="164"/>
      <c r="M101" s="164"/>
      <c r="N101" s="104"/>
    </row>
    <row r="102" spans="1:14" ht="15.95" hidden="1" customHeight="1">
      <c r="A102" s="164"/>
      <c r="B102" s="164"/>
      <c r="C102" s="164"/>
      <c r="D102" s="164"/>
      <c r="E102" s="164"/>
      <c r="F102" s="164"/>
      <c r="G102" s="164"/>
      <c r="H102" s="164"/>
      <c r="I102" s="164"/>
      <c r="J102" s="164"/>
      <c r="K102" s="164"/>
      <c r="L102" s="164"/>
      <c r="M102" s="164"/>
      <c r="N102" s="104"/>
    </row>
    <row r="103" spans="1:14" ht="15.95" hidden="1" customHeight="1">
      <c r="A103" s="164"/>
      <c r="B103" s="164"/>
      <c r="C103" s="164"/>
      <c r="D103" s="164"/>
      <c r="E103" s="164"/>
      <c r="F103" s="164"/>
      <c r="G103" s="164"/>
      <c r="H103" s="164"/>
      <c r="I103" s="164"/>
      <c r="J103" s="164"/>
      <c r="K103" s="164"/>
      <c r="L103" s="164"/>
      <c r="M103" s="164"/>
      <c r="N103" s="104"/>
    </row>
    <row r="104" spans="1:14" ht="15.95" hidden="1" customHeight="1">
      <c r="A104" s="164"/>
      <c r="B104" s="164"/>
      <c r="C104" s="164"/>
      <c r="D104" s="164"/>
      <c r="E104" s="164"/>
      <c r="F104" s="164"/>
      <c r="G104" s="164"/>
      <c r="H104" s="164"/>
      <c r="I104" s="164"/>
      <c r="J104" s="164"/>
      <c r="K104" s="164"/>
      <c r="L104" s="164"/>
      <c r="M104" s="164"/>
      <c r="N104" s="104"/>
    </row>
    <row r="105" spans="1:14" ht="15.95" hidden="1" customHeight="1">
      <c r="A105" s="164"/>
      <c r="B105" s="164"/>
      <c r="C105" s="164"/>
      <c r="D105" s="164"/>
      <c r="E105" s="164"/>
      <c r="F105" s="164"/>
      <c r="G105" s="164"/>
      <c r="H105" s="164"/>
      <c r="I105" s="164"/>
      <c r="J105" s="164"/>
      <c r="K105" s="164"/>
      <c r="L105" s="164"/>
      <c r="M105" s="164"/>
      <c r="N105" s="104"/>
    </row>
    <row r="106" spans="1:14" ht="15.95" hidden="1" customHeight="1">
      <c r="A106" s="164"/>
      <c r="B106" s="164"/>
      <c r="C106" s="164"/>
      <c r="D106" s="164"/>
      <c r="E106" s="164"/>
      <c r="F106" s="164"/>
      <c r="G106" s="164"/>
      <c r="H106" s="164"/>
      <c r="I106" s="164"/>
      <c r="J106" s="164"/>
      <c r="K106" s="164"/>
      <c r="L106" s="164"/>
      <c r="M106" s="164"/>
      <c r="N106" s="104"/>
    </row>
    <row r="107" spans="1:14" ht="15.95" hidden="1" customHeight="1">
      <c r="A107" s="164"/>
      <c r="B107" s="164"/>
      <c r="C107" s="164"/>
      <c r="D107" s="164"/>
      <c r="E107" s="164"/>
      <c r="F107" s="164"/>
      <c r="G107" s="164"/>
      <c r="H107" s="164"/>
      <c r="I107" s="164"/>
      <c r="J107" s="164"/>
      <c r="K107" s="164"/>
      <c r="L107" s="164"/>
      <c r="M107" s="164"/>
      <c r="N107" s="104"/>
    </row>
    <row r="108" spans="1:14" ht="15.95" hidden="1" customHeight="1">
      <c r="A108" s="164"/>
      <c r="B108" s="164"/>
      <c r="C108" s="164"/>
      <c r="D108" s="164"/>
      <c r="E108" s="164"/>
      <c r="F108" s="164"/>
      <c r="G108" s="164"/>
      <c r="H108" s="164"/>
      <c r="I108" s="164"/>
      <c r="J108" s="164"/>
      <c r="K108" s="164"/>
      <c r="L108" s="164"/>
      <c r="M108" s="164"/>
      <c r="N108" s="104"/>
    </row>
    <row r="109" spans="1:14" ht="15.95" hidden="1" customHeight="1">
      <c r="A109" s="164"/>
      <c r="B109" s="164"/>
      <c r="C109" s="164"/>
      <c r="D109" s="164"/>
      <c r="E109" s="164"/>
      <c r="F109" s="164"/>
      <c r="G109" s="164"/>
      <c r="H109" s="164"/>
      <c r="I109" s="164"/>
      <c r="J109" s="164"/>
      <c r="K109" s="164"/>
      <c r="L109" s="164"/>
      <c r="M109" s="164"/>
      <c r="N109" s="104"/>
    </row>
    <row r="110" spans="1:14" ht="15.95" hidden="1" customHeight="1">
      <c r="A110" s="164"/>
      <c r="B110" s="164"/>
      <c r="C110" s="164"/>
      <c r="D110" s="164"/>
      <c r="E110" s="164"/>
      <c r="F110" s="164"/>
      <c r="G110" s="164"/>
      <c r="H110" s="164"/>
      <c r="I110" s="164"/>
      <c r="J110" s="164"/>
      <c r="K110" s="164"/>
      <c r="L110" s="164"/>
      <c r="M110" s="164"/>
      <c r="N110" s="104"/>
    </row>
    <row r="111" spans="1:14" ht="15.95" hidden="1" customHeight="1">
      <c r="A111" s="164"/>
      <c r="B111" s="164"/>
      <c r="C111" s="164"/>
      <c r="D111" s="164"/>
      <c r="E111" s="164"/>
      <c r="F111" s="164"/>
      <c r="G111" s="164"/>
      <c r="H111" s="164"/>
      <c r="I111" s="164"/>
      <c r="J111" s="164"/>
      <c r="K111" s="164"/>
      <c r="L111" s="164"/>
      <c r="M111" s="164"/>
      <c r="N111" s="104"/>
    </row>
    <row r="112" spans="1:14" ht="15.95" hidden="1" customHeight="1">
      <c r="A112" s="164"/>
      <c r="B112" s="164"/>
      <c r="C112" s="164"/>
      <c r="D112" s="164"/>
      <c r="E112" s="164"/>
      <c r="F112" s="164"/>
      <c r="G112" s="164"/>
      <c r="H112" s="164"/>
      <c r="I112" s="164"/>
      <c r="J112" s="164"/>
      <c r="K112" s="164"/>
      <c r="L112" s="164"/>
      <c r="M112" s="164"/>
      <c r="N112" s="104"/>
    </row>
    <row r="113" spans="1:14" ht="15.95" hidden="1" customHeight="1">
      <c r="A113" s="164"/>
      <c r="B113" s="164"/>
      <c r="C113" s="164"/>
      <c r="D113" s="164"/>
      <c r="E113" s="164"/>
      <c r="F113" s="164"/>
      <c r="G113" s="164"/>
      <c r="H113" s="164"/>
      <c r="I113" s="164"/>
      <c r="J113" s="164"/>
      <c r="K113" s="164"/>
      <c r="L113" s="164"/>
      <c r="M113" s="164"/>
      <c r="N113" s="104"/>
    </row>
    <row r="114" spans="1:14" ht="15.95" hidden="1" customHeight="1">
      <c r="A114" s="164"/>
      <c r="B114" s="164"/>
      <c r="C114" s="164"/>
      <c r="D114" s="164"/>
      <c r="E114" s="164"/>
      <c r="F114" s="164"/>
      <c r="G114" s="164"/>
      <c r="H114" s="164"/>
      <c r="I114" s="164"/>
      <c r="J114" s="164"/>
      <c r="K114" s="164"/>
      <c r="L114" s="164"/>
      <c r="M114" s="164"/>
      <c r="N114" s="104"/>
    </row>
    <row r="115" spans="1:14" ht="15.95" hidden="1" customHeight="1">
      <c r="A115" s="164"/>
      <c r="B115" s="164"/>
      <c r="C115" s="164"/>
      <c r="D115" s="164"/>
      <c r="E115" s="164"/>
      <c r="F115" s="164"/>
      <c r="G115" s="164"/>
      <c r="H115" s="164"/>
      <c r="I115" s="164"/>
      <c r="J115" s="164"/>
      <c r="K115" s="164"/>
      <c r="L115" s="164"/>
      <c r="M115" s="164"/>
      <c r="N115" s="104"/>
    </row>
    <row r="116" spans="1:14" ht="15.95" hidden="1" customHeight="1">
      <c r="A116" s="164"/>
      <c r="B116" s="164"/>
      <c r="C116" s="164"/>
      <c r="D116" s="164"/>
      <c r="E116" s="164"/>
      <c r="F116" s="164"/>
      <c r="G116" s="164"/>
      <c r="H116" s="164"/>
      <c r="I116" s="164"/>
      <c r="J116" s="164"/>
      <c r="K116" s="164"/>
      <c r="L116" s="164"/>
      <c r="M116" s="164"/>
      <c r="N116" s="104"/>
    </row>
    <row r="117" spans="1:14" ht="15.95" hidden="1" customHeight="1">
      <c r="A117" s="164"/>
      <c r="B117" s="164"/>
      <c r="C117" s="164"/>
      <c r="D117" s="164"/>
      <c r="E117" s="164"/>
      <c r="F117" s="164"/>
      <c r="G117" s="164"/>
      <c r="H117" s="164"/>
      <c r="I117" s="164"/>
      <c r="J117" s="164"/>
      <c r="K117" s="164"/>
      <c r="L117" s="164"/>
      <c r="M117" s="164"/>
      <c r="N117" s="104"/>
    </row>
    <row r="118" spans="1:14" ht="15.95" hidden="1" customHeight="1">
      <c r="A118" s="164"/>
      <c r="B118" s="164"/>
      <c r="C118" s="164"/>
      <c r="D118" s="164"/>
      <c r="E118" s="164"/>
      <c r="F118" s="164"/>
      <c r="G118" s="164"/>
      <c r="H118" s="164"/>
      <c r="I118" s="164"/>
      <c r="J118" s="164"/>
      <c r="K118" s="164"/>
      <c r="L118" s="164"/>
      <c r="M118" s="164"/>
      <c r="N118" s="104"/>
    </row>
    <row r="119" spans="1:14" ht="15.95" hidden="1" customHeight="1">
      <c r="A119" s="164"/>
      <c r="B119" s="164"/>
      <c r="C119" s="164"/>
      <c r="D119" s="164"/>
      <c r="E119" s="164"/>
      <c r="F119" s="164"/>
      <c r="G119" s="164"/>
      <c r="H119" s="164"/>
      <c r="I119" s="164"/>
      <c r="J119" s="164"/>
      <c r="K119" s="164"/>
      <c r="L119" s="164"/>
      <c r="M119" s="164"/>
      <c r="N119" s="104"/>
    </row>
    <row r="120" spans="1:14" ht="15.95" hidden="1" customHeight="1">
      <c r="A120" s="164"/>
      <c r="B120" s="164"/>
      <c r="C120" s="164"/>
      <c r="D120" s="164"/>
      <c r="E120" s="164"/>
      <c r="F120" s="164"/>
      <c r="G120" s="164"/>
      <c r="H120" s="164"/>
      <c r="I120" s="164"/>
      <c r="J120" s="164"/>
      <c r="K120" s="164"/>
      <c r="L120" s="164"/>
      <c r="M120" s="164"/>
      <c r="N120" s="104"/>
    </row>
    <row r="121" spans="1:14" ht="15.95" hidden="1" customHeight="1">
      <c r="A121" s="164"/>
      <c r="B121" s="164"/>
      <c r="C121" s="164"/>
      <c r="D121" s="164"/>
      <c r="E121" s="164"/>
      <c r="F121" s="164"/>
      <c r="G121" s="164"/>
      <c r="H121" s="164"/>
      <c r="I121" s="164"/>
      <c r="J121" s="164"/>
      <c r="K121" s="164"/>
      <c r="L121" s="164"/>
      <c r="M121" s="164"/>
      <c r="N121" s="104"/>
    </row>
    <row r="122" spans="1:14" ht="15.95" hidden="1" customHeight="1">
      <c r="A122" s="164"/>
      <c r="B122" s="164"/>
      <c r="C122" s="164"/>
      <c r="D122" s="164"/>
      <c r="E122" s="164"/>
      <c r="F122" s="164"/>
      <c r="G122" s="164"/>
      <c r="H122" s="164"/>
      <c r="I122" s="164"/>
      <c r="J122" s="164"/>
      <c r="K122" s="164"/>
      <c r="L122" s="164"/>
      <c r="M122" s="164"/>
      <c r="N122" s="104"/>
    </row>
    <row r="123" spans="1:14" ht="15.95" hidden="1" customHeight="1">
      <c r="A123" s="164"/>
      <c r="B123" s="164"/>
      <c r="C123" s="164"/>
      <c r="D123" s="164"/>
      <c r="E123" s="164"/>
      <c r="F123" s="164"/>
      <c r="G123" s="164"/>
      <c r="H123" s="164"/>
      <c r="I123" s="164"/>
      <c r="J123" s="164"/>
      <c r="K123" s="164"/>
      <c r="L123" s="164"/>
      <c r="M123" s="164"/>
      <c r="N123" s="104"/>
    </row>
    <row r="124" spans="1:14" ht="15.95" hidden="1" customHeight="1">
      <c r="A124" s="164"/>
      <c r="B124" s="164"/>
      <c r="C124" s="164"/>
      <c r="D124" s="164"/>
      <c r="E124" s="164"/>
      <c r="F124" s="164"/>
      <c r="G124" s="164"/>
      <c r="H124" s="164"/>
      <c r="I124" s="164"/>
      <c r="J124" s="164"/>
      <c r="K124" s="164"/>
      <c r="L124" s="164"/>
      <c r="M124" s="164"/>
      <c r="N124" s="104"/>
    </row>
    <row r="125" spans="1:14" ht="15.95" hidden="1" customHeight="1">
      <c r="A125" s="164"/>
      <c r="B125" s="164"/>
      <c r="C125" s="164"/>
      <c r="D125" s="164"/>
      <c r="E125" s="164"/>
      <c r="F125" s="164"/>
      <c r="G125" s="164"/>
      <c r="H125" s="164"/>
      <c r="I125" s="164"/>
      <c r="J125" s="164"/>
      <c r="K125" s="164"/>
      <c r="L125" s="164"/>
      <c r="M125" s="164"/>
      <c r="N125" s="104"/>
    </row>
    <row r="126" spans="1:14" ht="15.95" hidden="1" customHeight="1">
      <c r="A126" s="164"/>
      <c r="B126" s="164"/>
      <c r="C126" s="164"/>
      <c r="D126" s="164"/>
      <c r="E126" s="164"/>
      <c r="F126" s="164"/>
      <c r="G126" s="164"/>
      <c r="H126" s="164"/>
      <c r="I126" s="164"/>
      <c r="J126" s="164"/>
      <c r="K126" s="164"/>
      <c r="L126" s="164"/>
      <c r="M126" s="164"/>
      <c r="N126" s="104"/>
    </row>
    <row r="127" spans="1:14" ht="15.95" hidden="1" customHeight="1">
      <c r="A127" s="164"/>
      <c r="B127" s="164"/>
      <c r="C127" s="164"/>
      <c r="D127" s="164"/>
      <c r="E127" s="164"/>
      <c r="F127" s="164"/>
      <c r="G127" s="164"/>
      <c r="H127" s="164"/>
      <c r="I127" s="164"/>
      <c r="J127" s="164"/>
      <c r="K127" s="164"/>
      <c r="L127" s="164"/>
      <c r="M127" s="164"/>
      <c r="N127" s="104"/>
    </row>
    <row r="128" spans="1:14" ht="15.95" hidden="1" customHeight="1">
      <c r="A128" s="164"/>
      <c r="B128" s="164"/>
      <c r="C128" s="164"/>
      <c r="D128" s="164"/>
      <c r="E128" s="164"/>
      <c r="F128" s="164"/>
      <c r="G128" s="164"/>
      <c r="H128" s="164"/>
      <c r="I128" s="164"/>
      <c r="J128" s="164"/>
      <c r="K128" s="164"/>
      <c r="L128" s="164"/>
      <c r="M128" s="164"/>
      <c r="N128" s="104"/>
    </row>
    <row r="129" spans="1:14" ht="15.95" hidden="1" customHeight="1">
      <c r="A129" s="164"/>
      <c r="B129" s="164"/>
      <c r="C129" s="164"/>
      <c r="D129" s="164"/>
      <c r="E129" s="164"/>
      <c r="F129" s="164"/>
      <c r="G129" s="164"/>
      <c r="H129" s="164"/>
      <c r="I129" s="164"/>
      <c r="J129" s="164"/>
      <c r="K129" s="164"/>
      <c r="L129" s="164"/>
      <c r="M129" s="164"/>
      <c r="N129" s="104"/>
    </row>
    <row r="130" spans="1:14" ht="15.95" hidden="1" customHeight="1">
      <c r="A130" s="164"/>
      <c r="B130" s="164"/>
      <c r="C130" s="164"/>
      <c r="D130" s="164"/>
      <c r="E130" s="164"/>
      <c r="F130" s="164"/>
      <c r="G130" s="164"/>
      <c r="H130" s="164"/>
      <c r="I130" s="164"/>
      <c r="J130" s="164"/>
      <c r="K130" s="164"/>
      <c r="L130" s="164"/>
      <c r="M130" s="164"/>
      <c r="N130" s="104"/>
    </row>
    <row r="131" spans="1:14" ht="15.95" hidden="1" customHeight="1">
      <c r="A131" s="164"/>
      <c r="B131" s="164"/>
      <c r="C131" s="164"/>
      <c r="D131" s="164"/>
      <c r="E131" s="164"/>
      <c r="F131" s="164"/>
      <c r="G131" s="164"/>
      <c r="H131" s="164"/>
      <c r="I131" s="164"/>
      <c r="J131" s="164"/>
      <c r="K131" s="164"/>
      <c r="L131" s="164"/>
      <c r="M131" s="164"/>
      <c r="N131" s="104"/>
    </row>
    <row r="132" spans="1:14" ht="15.95" hidden="1" customHeight="1">
      <c r="A132" s="164"/>
      <c r="B132" s="164"/>
      <c r="C132" s="164"/>
      <c r="D132" s="164"/>
      <c r="E132" s="164"/>
      <c r="F132" s="164"/>
      <c r="G132" s="164"/>
      <c r="H132" s="164"/>
      <c r="I132" s="164"/>
      <c r="J132" s="164"/>
      <c r="K132" s="164"/>
      <c r="L132" s="164"/>
      <c r="M132" s="164"/>
      <c r="N132" s="104"/>
    </row>
    <row r="133" spans="1:14" ht="15.95" hidden="1" customHeight="1">
      <c r="A133" s="164"/>
      <c r="B133" s="164"/>
      <c r="C133" s="164"/>
      <c r="D133" s="164"/>
      <c r="E133" s="164"/>
      <c r="F133" s="164"/>
      <c r="G133" s="164"/>
      <c r="H133" s="164"/>
      <c r="I133" s="164"/>
      <c r="J133" s="164"/>
      <c r="K133" s="164"/>
      <c r="L133" s="164"/>
      <c r="M133" s="164"/>
      <c r="N133" s="104"/>
    </row>
    <row r="134" spans="1:14" ht="15.95" hidden="1" customHeight="1">
      <c r="A134" s="164"/>
      <c r="B134" s="164"/>
      <c r="C134" s="164"/>
      <c r="D134" s="164"/>
      <c r="E134" s="164"/>
      <c r="F134" s="164"/>
      <c r="G134" s="164"/>
      <c r="H134" s="164"/>
      <c r="I134" s="164"/>
      <c r="J134" s="164"/>
      <c r="K134" s="164"/>
      <c r="L134" s="164"/>
      <c r="M134" s="164"/>
      <c r="N134" s="104"/>
    </row>
    <row r="135" spans="1:14" ht="15.95" hidden="1" customHeight="1">
      <c r="A135" s="164"/>
      <c r="B135" s="164"/>
      <c r="C135" s="164"/>
      <c r="D135" s="164"/>
      <c r="E135" s="164"/>
      <c r="F135" s="164"/>
      <c r="G135" s="164"/>
      <c r="H135" s="164"/>
      <c r="I135" s="164"/>
      <c r="J135" s="164"/>
      <c r="K135" s="164"/>
      <c r="L135" s="164"/>
      <c r="M135" s="164"/>
      <c r="N135" s="104"/>
    </row>
    <row r="136" spans="1:14" ht="15.95" hidden="1" customHeight="1">
      <c r="A136" s="164"/>
      <c r="B136" s="164"/>
      <c r="C136" s="164"/>
      <c r="D136" s="164"/>
      <c r="E136" s="164"/>
      <c r="F136" s="164"/>
      <c r="G136" s="164"/>
      <c r="H136" s="164"/>
      <c r="I136" s="164"/>
      <c r="J136" s="164"/>
      <c r="K136" s="164"/>
      <c r="L136" s="164"/>
      <c r="M136" s="164"/>
      <c r="N136" s="104"/>
    </row>
    <row r="137" spans="1:14" ht="15.95" hidden="1" customHeight="1">
      <c r="A137" s="164"/>
      <c r="B137" s="164"/>
      <c r="C137" s="164"/>
      <c r="D137" s="164"/>
      <c r="E137" s="164"/>
      <c r="F137" s="164"/>
      <c r="G137" s="164"/>
      <c r="H137" s="164"/>
      <c r="I137" s="164"/>
      <c r="J137" s="164"/>
      <c r="K137" s="164"/>
      <c r="L137" s="164"/>
      <c r="M137" s="164"/>
      <c r="N137" s="104"/>
    </row>
    <row r="138" spans="1:14" ht="15.95" hidden="1" customHeight="1">
      <c r="A138" s="164"/>
      <c r="B138" s="164"/>
      <c r="C138" s="164"/>
      <c r="D138" s="164"/>
      <c r="E138" s="164"/>
      <c r="F138" s="164"/>
      <c r="G138" s="164"/>
      <c r="H138" s="164"/>
      <c r="I138" s="164"/>
      <c r="J138" s="164"/>
      <c r="K138" s="164"/>
      <c r="L138" s="164"/>
      <c r="M138" s="164"/>
      <c r="N138" s="104"/>
    </row>
    <row r="139" spans="1:14" ht="15.95" hidden="1" customHeight="1">
      <c r="A139" s="164"/>
      <c r="B139" s="164"/>
      <c r="C139" s="164"/>
      <c r="D139" s="164"/>
      <c r="E139" s="164"/>
      <c r="F139" s="164"/>
      <c r="G139" s="164"/>
      <c r="H139" s="164"/>
      <c r="I139" s="164"/>
      <c r="J139" s="164"/>
      <c r="K139" s="164"/>
      <c r="L139" s="164"/>
      <c r="M139" s="164"/>
      <c r="N139" s="104"/>
    </row>
    <row r="140" spans="1:14" ht="15.95" hidden="1" customHeight="1">
      <c r="A140" s="164"/>
      <c r="B140" s="164"/>
      <c r="C140" s="164"/>
      <c r="D140" s="164"/>
      <c r="E140" s="164"/>
      <c r="F140" s="164"/>
      <c r="G140" s="164"/>
      <c r="H140" s="164"/>
      <c r="I140" s="164"/>
      <c r="J140" s="164"/>
      <c r="K140" s="164"/>
      <c r="L140" s="164"/>
      <c r="M140" s="164"/>
      <c r="N140" s="104"/>
    </row>
    <row r="141" spans="1:14" ht="15.95" hidden="1" customHeight="1">
      <c r="A141" s="164"/>
      <c r="B141" s="164"/>
      <c r="C141" s="164"/>
      <c r="D141" s="164"/>
      <c r="E141" s="164"/>
      <c r="F141" s="164"/>
      <c r="G141" s="164"/>
      <c r="H141" s="164"/>
      <c r="I141" s="164"/>
      <c r="J141" s="164"/>
      <c r="K141" s="164"/>
      <c r="L141" s="164"/>
      <c r="M141" s="164"/>
      <c r="N141" s="104"/>
    </row>
    <row r="142" spans="1:14" ht="15.95" hidden="1" customHeight="1">
      <c r="A142" s="164"/>
      <c r="B142" s="164"/>
      <c r="C142" s="164"/>
      <c r="D142" s="164"/>
      <c r="E142" s="164"/>
      <c r="F142" s="164"/>
      <c r="G142" s="164"/>
      <c r="H142" s="164"/>
      <c r="I142" s="164"/>
      <c r="J142" s="164"/>
      <c r="K142" s="164"/>
      <c r="L142" s="164"/>
      <c r="M142" s="164"/>
      <c r="N142" s="104"/>
    </row>
    <row r="143" spans="1:14" ht="15.95" hidden="1" customHeight="1">
      <c r="A143" s="164"/>
      <c r="B143" s="164"/>
      <c r="C143" s="164"/>
      <c r="D143" s="164"/>
      <c r="E143" s="164"/>
      <c r="F143" s="164"/>
      <c r="G143" s="164"/>
      <c r="H143" s="164"/>
      <c r="I143" s="164"/>
      <c r="J143" s="164"/>
      <c r="K143" s="164"/>
      <c r="L143" s="164"/>
      <c r="M143" s="164"/>
      <c r="N143" s="104"/>
    </row>
    <row r="144" spans="1:14" ht="15.95" hidden="1" customHeight="1">
      <c r="A144" s="164"/>
      <c r="B144" s="164"/>
      <c r="C144" s="164"/>
      <c r="D144" s="164"/>
      <c r="E144" s="164"/>
      <c r="F144" s="164"/>
      <c r="G144" s="164"/>
      <c r="H144" s="164"/>
      <c r="I144" s="164"/>
      <c r="J144" s="164"/>
      <c r="K144" s="164"/>
      <c r="L144" s="164"/>
      <c r="M144" s="164"/>
      <c r="N144" s="104"/>
    </row>
    <row r="145" spans="1:14" ht="15.95" hidden="1" customHeight="1">
      <c r="A145" s="164"/>
      <c r="B145" s="164"/>
      <c r="C145" s="164"/>
      <c r="D145" s="164"/>
      <c r="E145" s="164"/>
      <c r="F145" s="164"/>
      <c r="G145" s="164"/>
      <c r="H145" s="164"/>
      <c r="I145" s="164"/>
      <c r="J145" s="164"/>
      <c r="K145" s="164"/>
      <c r="L145" s="164"/>
      <c r="M145" s="164"/>
      <c r="N145" s="104"/>
    </row>
    <row r="146" spans="1:14" ht="15.95" hidden="1" customHeight="1">
      <c r="A146" s="164"/>
      <c r="B146" s="164"/>
      <c r="C146" s="164"/>
      <c r="D146" s="164"/>
      <c r="E146" s="164"/>
      <c r="F146" s="164"/>
      <c r="G146" s="164"/>
      <c r="H146" s="164"/>
      <c r="I146" s="164"/>
      <c r="J146" s="164"/>
      <c r="K146" s="164"/>
      <c r="L146" s="164"/>
      <c r="M146" s="164"/>
      <c r="N146" s="104"/>
    </row>
    <row r="147" spans="1:14" ht="15.95" hidden="1" customHeight="1">
      <c r="A147" s="164"/>
      <c r="B147" s="164"/>
      <c r="C147" s="164"/>
      <c r="D147" s="164"/>
      <c r="E147" s="164"/>
      <c r="F147" s="164"/>
      <c r="G147" s="164"/>
      <c r="H147" s="164"/>
      <c r="I147" s="164"/>
      <c r="J147" s="164"/>
      <c r="K147" s="164"/>
      <c r="L147" s="164"/>
      <c r="M147" s="164"/>
      <c r="N147" s="104"/>
    </row>
    <row r="148" spans="1:14" ht="15.95" hidden="1" customHeight="1">
      <c r="A148" s="164"/>
      <c r="B148" s="164"/>
      <c r="C148" s="164"/>
      <c r="D148" s="164"/>
      <c r="E148" s="164"/>
      <c r="F148" s="164"/>
      <c r="G148" s="164"/>
      <c r="H148" s="164"/>
      <c r="I148" s="164"/>
      <c r="J148" s="164"/>
      <c r="K148" s="164"/>
      <c r="L148" s="164"/>
      <c r="M148" s="164"/>
      <c r="N148" s="104"/>
    </row>
    <row r="149" spans="1:14" ht="15.95" hidden="1" customHeight="1">
      <c r="A149" s="164"/>
      <c r="B149" s="164"/>
      <c r="C149" s="164"/>
      <c r="D149" s="164"/>
      <c r="E149" s="164"/>
      <c r="F149" s="164"/>
      <c r="G149" s="164"/>
      <c r="H149" s="164"/>
      <c r="I149" s="164"/>
      <c r="J149" s="164"/>
      <c r="K149" s="164"/>
      <c r="L149" s="164"/>
      <c r="M149" s="164"/>
      <c r="N149" s="104"/>
    </row>
    <row r="150" spans="1:14" ht="15.95" hidden="1" customHeight="1">
      <c r="A150" s="164"/>
      <c r="B150" s="164"/>
      <c r="C150" s="164"/>
      <c r="D150" s="164"/>
      <c r="E150" s="164"/>
      <c r="F150" s="164"/>
      <c r="G150" s="164"/>
      <c r="H150" s="164"/>
      <c r="I150" s="164"/>
      <c r="J150" s="164"/>
      <c r="K150" s="164"/>
      <c r="L150" s="164"/>
      <c r="M150" s="164"/>
      <c r="N150" s="104"/>
    </row>
    <row r="151" spans="1:14" ht="15.95" hidden="1" customHeight="1">
      <c r="A151" s="164"/>
      <c r="B151" s="164"/>
      <c r="C151" s="164"/>
      <c r="D151" s="164"/>
      <c r="E151" s="164"/>
      <c r="F151" s="164"/>
      <c r="G151" s="164"/>
      <c r="H151" s="164"/>
      <c r="I151" s="164"/>
      <c r="J151" s="164"/>
      <c r="K151" s="164"/>
      <c r="L151" s="164"/>
      <c r="M151" s="164"/>
      <c r="N151" s="104"/>
    </row>
    <row r="152" spans="1:14" ht="15.95" hidden="1" customHeight="1">
      <c r="A152" s="164"/>
      <c r="B152" s="164"/>
      <c r="C152" s="164"/>
      <c r="D152" s="164"/>
      <c r="E152" s="164"/>
      <c r="F152" s="164"/>
      <c r="G152" s="164"/>
      <c r="H152" s="164"/>
      <c r="I152" s="164"/>
      <c r="J152" s="164"/>
      <c r="K152" s="164"/>
      <c r="L152" s="164"/>
      <c r="M152" s="164"/>
      <c r="N152" s="104"/>
    </row>
    <row r="153" spans="1:14" ht="15.95" hidden="1" customHeight="1">
      <c r="A153" s="164"/>
      <c r="B153" s="164"/>
      <c r="C153" s="164"/>
      <c r="D153" s="164"/>
      <c r="E153" s="164"/>
      <c r="F153" s="164"/>
      <c r="G153" s="164"/>
      <c r="H153" s="164"/>
      <c r="I153" s="164"/>
      <c r="J153" s="164"/>
      <c r="K153" s="164"/>
      <c r="L153" s="164"/>
      <c r="M153" s="164"/>
      <c r="N153" s="104"/>
    </row>
    <row r="154" spans="1:14" ht="15.95" hidden="1" customHeight="1">
      <c r="A154" s="164"/>
      <c r="B154" s="164"/>
      <c r="C154" s="164"/>
      <c r="D154" s="164"/>
      <c r="E154" s="164"/>
      <c r="F154" s="164"/>
      <c r="G154" s="164"/>
      <c r="H154" s="164"/>
      <c r="I154" s="164"/>
      <c r="J154" s="164"/>
      <c r="K154" s="164"/>
      <c r="L154" s="164"/>
      <c r="M154" s="164"/>
      <c r="N154" s="104"/>
    </row>
    <row r="155" spans="1:14" ht="15.95" hidden="1" customHeight="1">
      <c r="A155" s="164"/>
      <c r="B155" s="164"/>
      <c r="C155" s="164"/>
      <c r="D155" s="164"/>
      <c r="E155" s="164"/>
      <c r="F155" s="164"/>
      <c r="G155" s="164"/>
      <c r="H155" s="164"/>
      <c r="I155" s="164"/>
      <c r="J155" s="164"/>
      <c r="K155" s="164"/>
      <c r="L155" s="164"/>
      <c r="M155" s="164"/>
      <c r="N155" s="104"/>
    </row>
    <row r="156" spans="1:14" ht="15.95" hidden="1" customHeight="1">
      <c r="A156" s="164"/>
      <c r="B156" s="164"/>
      <c r="C156" s="164"/>
      <c r="D156" s="164"/>
      <c r="E156" s="164"/>
      <c r="F156" s="164"/>
      <c r="G156" s="164"/>
      <c r="H156" s="164"/>
      <c r="I156" s="164"/>
      <c r="J156" s="164"/>
      <c r="K156" s="164"/>
      <c r="L156" s="164"/>
      <c r="M156" s="164"/>
      <c r="N156" s="104"/>
    </row>
    <row r="157" spans="1:14" ht="15.95" hidden="1" customHeight="1">
      <c r="A157" s="164"/>
      <c r="B157" s="164"/>
      <c r="C157" s="164"/>
      <c r="D157" s="164"/>
      <c r="E157" s="164"/>
      <c r="F157" s="164"/>
      <c r="G157" s="164"/>
      <c r="H157" s="164"/>
      <c r="I157" s="164"/>
      <c r="J157" s="164"/>
      <c r="K157" s="164"/>
      <c r="L157" s="164"/>
      <c r="M157" s="164"/>
      <c r="N157" s="104"/>
    </row>
    <row r="158" spans="1:14" ht="15.95" hidden="1" customHeight="1">
      <c r="A158" s="164"/>
      <c r="B158" s="164"/>
      <c r="C158" s="164"/>
      <c r="D158" s="164"/>
      <c r="E158" s="164"/>
      <c r="F158" s="164"/>
      <c r="G158" s="164"/>
      <c r="H158" s="164"/>
      <c r="I158" s="164"/>
      <c r="J158" s="164"/>
      <c r="K158" s="164"/>
      <c r="L158" s="164"/>
      <c r="M158" s="164"/>
      <c r="N158" s="104"/>
    </row>
    <row r="159" spans="1:14" ht="15.95" hidden="1" customHeight="1">
      <c r="A159" s="164"/>
      <c r="B159" s="164"/>
      <c r="C159" s="164"/>
      <c r="D159" s="164"/>
      <c r="E159" s="164"/>
      <c r="F159" s="164"/>
      <c r="G159" s="164"/>
      <c r="H159" s="164"/>
      <c r="I159" s="164"/>
      <c r="J159" s="164"/>
      <c r="K159" s="164"/>
      <c r="L159" s="164"/>
      <c r="M159" s="164"/>
      <c r="N159" s="104"/>
    </row>
    <row r="160" spans="1:14" ht="15.95" hidden="1" customHeight="1">
      <c r="A160" s="164"/>
      <c r="B160" s="164"/>
      <c r="C160" s="164"/>
      <c r="D160" s="164"/>
      <c r="E160" s="164"/>
      <c r="F160" s="164"/>
      <c r="G160" s="164"/>
      <c r="H160" s="164"/>
      <c r="I160" s="164"/>
      <c r="J160" s="164"/>
      <c r="K160" s="164"/>
      <c r="L160" s="164"/>
      <c r="M160" s="164"/>
      <c r="N160" s="104"/>
    </row>
    <row r="161" spans="1:14" ht="15.95" hidden="1" customHeight="1">
      <c r="A161" s="164"/>
      <c r="B161" s="164"/>
      <c r="C161" s="164"/>
      <c r="D161" s="164"/>
      <c r="E161" s="164"/>
      <c r="F161" s="164"/>
      <c r="G161" s="164"/>
      <c r="H161" s="164"/>
      <c r="I161" s="164"/>
      <c r="J161" s="164"/>
      <c r="K161" s="164"/>
      <c r="L161" s="164"/>
      <c r="M161" s="164"/>
      <c r="N161" s="104"/>
    </row>
    <row r="162" spans="1:14" ht="15.95" hidden="1" customHeight="1">
      <c r="A162" s="164"/>
      <c r="B162" s="164"/>
      <c r="C162" s="164"/>
      <c r="D162" s="164"/>
      <c r="E162" s="164"/>
      <c r="F162" s="164"/>
      <c r="G162" s="164"/>
      <c r="H162" s="164"/>
      <c r="I162" s="164"/>
      <c r="J162" s="164"/>
      <c r="K162" s="164"/>
      <c r="L162" s="164"/>
      <c r="M162" s="164"/>
      <c r="N162" s="104"/>
    </row>
    <row r="163" spans="1:14" ht="15.95" hidden="1" customHeight="1">
      <c r="A163" s="164"/>
      <c r="B163" s="164"/>
      <c r="C163" s="164"/>
      <c r="D163" s="164"/>
      <c r="E163" s="164"/>
      <c r="F163" s="164"/>
      <c r="G163" s="164"/>
      <c r="H163" s="164"/>
      <c r="I163" s="164"/>
      <c r="J163" s="164"/>
      <c r="K163" s="164"/>
      <c r="L163" s="164"/>
      <c r="M163" s="164"/>
      <c r="N163" s="104"/>
    </row>
    <row r="164" spans="1:14" ht="15.95" hidden="1" customHeight="1">
      <c r="A164" s="164"/>
      <c r="B164" s="164"/>
      <c r="C164" s="164"/>
      <c r="D164" s="164"/>
      <c r="E164" s="164"/>
      <c r="F164" s="164"/>
      <c r="G164" s="164"/>
      <c r="H164" s="164"/>
      <c r="I164" s="164"/>
      <c r="J164" s="164"/>
      <c r="K164" s="164"/>
      <c r="L164" s="164"/>
      <c r="M164" s="164"/>
      <c r="N164" s="104"/>
    </row>
    <row r="165" spans="1:14" ht="15.95" hidden="1" customHeight="1">
      <c r="A165" s="164"/>
      <c r="B165" s="164"/>
      <c r="C165" s="164"/>
      <c r="D165" s="164"/>
      <c r="E165" s="164"/>
      <c r="F165" s="164"/>
      <c r="G165" s="164"/>
      <c r="H165" s="164"/>
      <c r="I165" s="164"/>
      <c r="J165" s="164"/>
      <c r="K165" s="164"/>
      <c r="L165" s="164"/>
      <c r="M165" s="164"/>
      <c r="N165" s="104"/>
    </row>
    <row r="166" spans="1:14" ht="15.95" hidden="1" customHeight="1">
      <c r="A166" s="164"/>
      <c r="B166" s="164"/>
      <c r="C166" s="164"/>
      <c r="D166" s="164"/>
      <c r="E166" s="164"/>
      <c r="F166" s="164"/>
      <c r="G166" s="164"/>
      <c r="H166" s="164"/>
      <c r="I166" s="164"/>
      <c r="J166" s="164"/>
      <c r="K166" s="164"/>
      <c r="L166" s="164"/>
      <c r="M166" s="164"/>
      <c r="N166" s="104"/>
    </row>
    <row r="167" spans="1:14" ht="15.95" hidden="1" customHeight="1">
      <c r="A167" s="164"/>
      <c r="B167" s="164"/>
      <c r="C167" s="164"/>
      <c r="D167" s="164"/>
      <c r="E167" s="164"/>
      <c r="F167" s="164"/>
      <c r="G167" s="164"/>
      <c r="H167" s="164"/>
      <c r="I167" s="164"/>
      <c r="J167" s="164"/>
      <c r="K167" s="164"/>
      <c r="L167" s="164"/>
      <c r="M167" s="164"/>
      <c r="N167" s="104"/>
    </row>
    <row r="168" spans="1:14" ht="15.95" hidden="1" customHeight="1">
      <c r="A168" s="164"/>
      <c r="B168" s="164"/>
      <c r="C168" s="164"/>
      <c r="D168" s="164"/>
      <c r="E168" s="164"/>
      <c r="F168" s="164"/>
      <c r="G168" s="164"/>
      <c r="H168" s="164"/>
      <c r="I168" s="164"/>
      <c r="J168" s="164"/>
      <c r="K168" s="164"/>
      <c r="L168" s="164"/>
      <c r="M168" s="164"/>
      <c r="N168" s="104"/>
    </row>
    <row r="169" spans="1:14" ht="15.95" hidden="1" customHeight="1">
      <c r="A169" s="164"/>
      <c r="B169" s="164"/>
      <c r="C169" s="164"/>
      <c r="D169" s="164"/>
      <c r="E169" s="164"/>
      <c r="F169" s="164"/>
      <c r="G169" s="164"/>
      <c r="H169" s="164"/>
      <c r="I169" s="164"/>
      <c r="J169" s="164"/>
      <c r="K169" s="164"/>
      <c r="L169" s="164"/>
      <c r="M169" s="164"/>
      <c r="N169" s="104"/>
    </row>
    <row r="170" spans="1:14" ht="15.95" hidden="1" customHeight="1">
      <c r="A170" s="164"/>
      <c r="B170" s="164"/>
      <c r="C170" s="164"/>
      <c r="D170" s="164"/>
      <c r="E170" s="164"/>
      <c r="F170" s="164"/>
      <c r="G170" s="164"/>
      <c r="H170" s="164"/>
      <c r="I170" s="164"/>
      <c r="J170" s="164"/>
      <c r="K170" s="164"/>
      <c r="L170" s="164"/>
      <c r="M170" s="164"/>
      <c r="N170" s="104"/>
    </row>
    <row r="171" spans="1:14" ht="15.95" hidden="1" customHeight="1">
      <c r="A171" s="164"/>
      <c r="B171" s="164"/>
      <c r="C171" s="164"/>
      <c r="D171" s="164"/>
      <c r="E171" s="164"/>
      <c r="F171" s="164"/>
      <c r="G171" s="164"/>
      <c r="H171" s="164"/>
      <c r="I171" s="164"/>
      <c r="J171" s="164"/>
      <c r="K171" s="164"/>
      <c r="L171" s="164"/>
      <c r="M171" s="164"/>
      <c r="N171" s="104"/>
    </row>
    <row r="172" spans="1:14" ht="15.95" hidden="1" customHeight="1">
      <c r="A172" s="164"/>
      <c r="B172" s="164"/>
      <c r="C172" s="164"/>
      <c r="D172" s="164"/>
      <c r="E172" s="164"/>
      <c r="F172" s="164"/>
      <c r="G172" s="164"/>
      <c r="H172" s="164"/>
      <c r="I172" s="164"/>
      <c r="J172" s="164"/>
      <c r="K172" s="164"/>
      <c r="L172" s="164"/>
      <c r="M172" s="164"/>
      <c r="N172" s="104"/>
    </row>
    <row r="173" spans="1:14" ht="15.95" hidden="1" customHeight="1">
      <c r="A173" s="164"/>
      <c r="B173" s="164"/>
      <c r="C173" s="164"/>
      <c r="D173" s="164"/>
      <c r="E173" s="164"/>
      <c r="F173" s="164"/>
      <c r="G173" s="164"/>
      <c r="H173" s="164"/>
      <c r="I173" s="164"/>
      <c r="J173" s="164"/>
      <c r="K173" s="164"/>
      <c r="L173" s="164"/>
      <c r="M173" s="164"/>
      <c r="N173" s="104"/>
    </row>
    <row r="174" spans="1:14" ht="15.95" hidden="1" customHeight="1">
      <c r="A174" s="164"/>
      <c r="B174" s="164"/>
      <c r="C174" s="164"/>
      <c r="D174" s="164"/>
      <c r="E174" s="164"/>
      <c r="F174" s="164"/>
      <c r="G174" s="164"/>
      <c r="H174" s="164"/>
      <c r="I174" s="164"/>
      <c r="J174" s="164"/>
      <c r="K174" s="164"/>
      <c r="L174" s="164"/>
      <c r="M174" s="164"/>
      <c r="N174" s="104"/>
    </row>
    <row r="175" spans="1:14" ht="15.95" hidden="1" customHeight="1">
      <c r="A175" s="164"/>
      <c r="B175" s="164"/>
      <c r="C175" s="164"/>
      <c r="D175" s="164"/>
      <c r="E175" s="164"/>
      <c r="F175" s="164"/>
      <c r="G175" s="164"/>
      <c r="H175" s="164"/>
      <c r="I175" s="164"/>
      <c r="J175" s="164"/>
      <c r="K175" s="164"/>
      <c r="L175" s="164"/>
      <c r="M175" s="164"/>
      <c r="N175" s="104"/>
    </row>
    <row r="176" spans="1:14" ht="15.95" hidden="1" customHeight="1">
      <c r="A176" s="164"/>
      <c r="B176" s="164"/>
      <c r="C176" s="164"/>
      <c r="D176" s="164"/>
      <c r="E176" s="164"/>
      <c r="F176" s="164"/>
      <c r="G176" s="164"/>
      <c r="H176" s="164"/>
      <c r="I176" s="164"/>
      <c r="J176" s="164"/>
      <c r="K176" s="164"/>
      <c r="L176" s="164"/>
      <c r="M176" s="164"/>
      <c r="N176" s="104"/>
    </row>
    <row r="177" spans="1:14" ht="15.95" hidden="1" customHeight="1">
      <c r="A177" s="164"/>
      <c r="B177" s="164"/>
      <c r="C177" s="164"/>
      <c r="D177" s="164"/>
      <c r="E177" s="164"/>
      <c r="F177" s="164"/>
      <c r="G177" s="164"/>
      <c r="H177" s="164"/>
      <c r="I177" s="164"/>
      <c r="J177" s="164"/>
      <c r="K177" s="164"/>
      <c r="L177" s="164"/>
      <c r="M177" s="164"/>
      <c r="N177" s="104"/>
    </row>
    <row r="178" spans="1:14" ht="15.95" hidden="1" customHeight="1">
      <c r="A178" s="164"/>
      <c r="B178" s="164"/>
      <c r="C178" s="164"/>
      <c r="D178" s="164"/>
      <c r="E178" s="164"/>
      <c r="F178" s="164"/>
      <c r="G178" s="164"/>
      <c r="H178" s="164"/>
      <c r="I178" s="164"/>
      <c r="J178" s="164"/>
      <c r="K178" s="164"/>
      <c r="L178" s="164"/>
      <c r="M178" s="164"/>
      <c r="N178" s="104"/>
    </row>
    <row r="179" spans="1:14" ht="15.95" hidden="1" customHeight="1">
      <c r="A179" s="164"/>
      <c r="B179" s="164"/>
      <c r="C179" s="164"/>
      <c r="D179" s="164"/>
      <c r="E179" s="164"/>
      <c r="F179" s="164"/>
      <c r="G179" s="164"/>
      <c r="H179" s="164"/>
      <c r="I179" s="164"/>
      <c r="J179" s="164"/>
      <c r="K179" s="164"/>
      <c r="L179" s="164"/>
      <c r="M179" s="164"/>
      <c r="N179" s="104"/>
    </row>
    <row r="180" spans="1:14" ht="15.95" hidden="1" customHeight="1">
      <c r="A180" s="164"/>
      <c r="B180" s="164"/>
      <c r="C180" s="164"/>
      <c r="D180" s="164"/>
      <c r="E180" s="164"/>
      <c r="F180" s="164"/>
      <c r="G180" s="164"/>
      <c r="H180" s="164"/>
      <c r="I180" s="164"/>
      <c r="J180" s="164"/>
      <c r="K180" s="164"/>
      <c r="L180" s="164"/>
      <c r="M180" s="164"/>
      <c r="N180" s="104"/>
    </row>
    <row r="181" spans="1:14" ht="15.95" hidden="1" customHeight="1">
      <c r="A181" s="164"/>
      <c r="B181" s="164"/>
      <c r="C181" s="164"/>
      <c r="D181" s="164"/>
      <c r="E181" s="164"/>
      <c r="F181" s="164"/>
      <c r="G181" s="164"/>
      <c r="H181" s="164"/>
      <c r="I181" s="164"/>
      <c r="J181" s="164"/>
      <c r="K181" s="164"/>
      <c r="L181" s="164"/>
      <c r="M181" s="164"/>
      <c r="N181" s="104"/>
    </row>
    <row r="182" spans="1:14" ht="15.95" hidden="1" customHeight="1">
      <c r="A182" s="164"/>
      <c r="B182" s="164"/>
      <c r="C182" s="164"/>
      <c r="D182" s="164"/>
      <c r="E182" s="164"/>
      <c r="F182" s="164"/>
      <c r="G182" s="164"/>
      <c r="H182" s="164"/>
      <c r="I182" s="164"/>
      <c r="J182" s="164"/>
      <c r="K182" s="164"/>
      <c r="L182" s="164"/>
      <c r="M182" s="164"/>
      <c r="N182" s="104"/>
    </row>
    <row r="183" spans="1:14" ht="15.95" hidden="1" customHeight="1">
      <c r="A183" s="164"/>
      <c r="B183" s="164"/>
      <c r="C183" s="164"/>
      <c r="D183" s="164"/>
      <c r="E183" s="164"/>
      <c r="F183" s="164"/>
      <c r="G183" s="164"/>
      <c r="H183" s="164"/>
      <c r="I183" s="164"/>
      <c r="J183" s="164"/>
      <c r="K183" s="164"/>
      <c r="L183" s="164"/>
      <c r="M183" s="164"/>
      <c r="N183" s="104"/>
    </row>
    <row r="184" spans="1:14" ht="15.95" hidden="1" customHeight="1">
      <c r="A184" s="164"/>
      <c r="B184" s="164"/>
      <c r="C184" s="164"/>
      <c r="D184" s="164"/>
      <c r="E184" s="164"/>
      <c r="F184" s="164"/>
      <c r="G184" s="164"/>
      <c r="H184" s="164"/>
      <c r="I184" s="164"/>
      <c r="J184" s="164"/>
      <c r="K184" s="164"/>
      <c r="L184" s="164"/>
      <c r="M184" s="164"/>
      <c r="N184" s="104"/>
    </row>
    <row r="185" spans="1:14" ht="15.95" hidden="1" customHeight="1">
      <c r="A185" s="164"/>
      <c r="B185" s="164"/>
      <c r="C185" s="164"/>
      <c r="D185" s="164"/>
      <c r="E185" s="164"/>
      <c r="F185" s="164"/>
      <c r="G185" s="164"/>
      <c r="H185" s="164"/>
      <c r="I185" s="164"/>
      <c r="J185" s="164"/>
      <c r="K185" s="164"/>
      <c r="L185" s="164"/>
      <c r="M185" s="164"/>
      <c r="N185" s="104"/>
    </row>
    <row r="186" spans="1:14" ht="15.95" hidden="1" customHeight="1">
      <c r="A186" s="164"/>
      <c r="B186" s="164"/>
      <c r="C186" s="164"/>
      <c r="D186" s="164"/>
      <c r="E186" s="164"/>
      <c r="F186" s="164"/>
      <c r="G186" s="164"/>
      <c r="H186" s="164"/>
      <c r="I186" s="164"/>
      <c r="J186" s="164"/>
      <c r="K186" s="164"/>
      <c r="L186" s="164"/>
      <c r="M186" s="164"/>
      <c r="N186" s="104"/>
    </row>
    <row r="187" spans="1:14" ht="15.95" hidden="1" customHeight="1">
      <c r="A187" s="164"/>
      <c r="B187" s="164"/>
      <c r="C187" s="164"/>
      <c r="D187" s="164"/>
      <c r="E187" s="164"/>
      <c r="F187" s="164"/>
      <c r="G187" s="164"/>
      <c r="H187" s="164"/>
      <c r="I187" s="164"/>
      <c r="J187" s="164"/>
      <c r="K187" s="164"/>
      <c r="L187" s="164"/>
      <c r="M187" s="164"/>
      <c r="N187" s="104"/>
    </row>
    <row r="188" spans="1:14" ht="15.95" hidden="1" customHeight="1">
      <c r="A188" s="164"/>
      <c r="B188" s="164"/>
      <c r="C188" s="164"/>
      <c r="D188" s="164"/>
      <c r="E188" s="164"/>
      <c r="F188" s="164"/>
      <c r="G188" s="164"/>
      <c r="H188" s="164"/>
      <c r="I188" s="164"/>
      <c r="J188" s="164"/>
      <c r="K188" s="164"/>
      <c r="L188" s="164"/>
      <c r="M188" s="164"/>
      <c r="N188" s="104"/>
    </row>
    <row r="189" spans="1:14" ht="15.95" hidden="1" customHeight="1">
      <c r="A189" s="164"/>
      <c r="B189" s="164"/>
      <c r="C189" s="164"/>
      <c r="D189" s="164"/>
      <c r="E189" s="164"/>
      <c r="F189" s="164"/>
      <c r="G189" s="164"/>
      <c r="H189" s="164"/>
      <c r="I189" s="164"/>
      <c r="J189" s="164"/>
      <c r="K189" s="164"/>
      <c r="L189" s="164"/>
      <c r="M189" s="164"/>
      <c r="N189" s="104"/>
    </row>
    <row r="190" spans="1:14" ht="15.95" hidden="1" customHeight="1">
      <c r="A190" s="164"/>
      <c r="B190" s="164"/>
      <c r="C190" s="164"/>
      <c r="D190" s="164"/>
      <c r="E190" s="164"/>
      <c r="F190" s="164"/>
      <c r="G190" s="164"/>
      <c r="H190" s="164"/>
      <c r="I190" s="164"/>
      <c r="J190" s="164"/>
      <c r="K190" s="164"/>
      <c r="L190" s="164"/>
      <c r="M190" s="164"/>
      <c r="N190" s="104"/>
    </row>
    <row r="191" spans="1:14" ht="15.95" hidden="1" customHeight="1">
      <c r="A191" s="164"/>
      <c r="B191" s="164"/>
      <c r="C191" s="164"/>
      <c r="D191" s="164"/>
      <c r="E191" s="164"/>
      <c r="F191" s="164"/>
      <c r="G191" s="164"/>
      <c r="H191" s="164"/>
      <c r="I191" s="164"/>
      <c r="J191" s="164"/>
      <c r="K191" s="164"/>
      <c r="L191" s="164"/>
      <c r="M191" s="164"/>
      <c r="N191" s="104"/>
    </row>
    <row r="192" spans="1:14" ht="15.95" hidden="1" customHeight="1">
      <c r="A192" s="164"/>
      <c r="B192" s="164"/>
      <c r="C192" s="164"/>
      <c r="D192" s="164"/>
      <c r="E192" s="164"/>
      <c r="F192" s="164"/>
      <c r="G192" s="164"/>
      <c r="H192" s="164"/>
      <c r="I192" s="164"/>
      <c r="J192" s="164"/>
      <c r="K192" s="164"/>
      <c r="L192" s="164"/>
      <c r="M192" s="164"/>
      <c r="N192" s="104"/>
    </row>
    <row r="193" spans="1:14" ht="15.95" hidden="1" customHeight="1">
      <c r="A193" s="164"/>
      <c r="B193" s="164"/>
      <c r="C193" s="164"/>
      <c r="D193" s="164"/>
      <c r="E193" s="164"/>
      <c r="F193" s="164"/>
      <c r="G193" s="164"/>
      <c r="H193" s="164"/>
      <c r="I193" s="164"/>
      <c r="J193" s="164"/>
      <c r="K193" s="164"/>
      <c r="L193" s="164"/>
      <c r="M193" s="164"/>
      <c r="N193" s="104"/>
    </row>
    <row r="194" spans="1:14" ht="15.95" hidden="1" customHeight="1">
      <c r="A194" s="164"/>
      <c r="B194" s="164"/>
      <c r="C194" s="164"/>
      <c r="D194" s="164"/>
      <c r="E194" s="164"/>
      <c r="F194" s="164"/>
      <c r="G194" s="164"/>
      <c r="H194" s="164"/>
      <c r="I194" s="164"/>
      <c r="J194" s="164"/>
      <c r="K194" s="164"/>
      <c r="L194" s="164"/>
      <c r="M194" s="164"/>
      <c r="N194" s="104"/>
    </row>
    <row r="195" spans="1:14" ht="15.95" hidden="1" customHeight="1">
      <c r="A195" s="164"/>
      <c r="B195" s="164"/>
      <c r="C195" s="164"/>
      <c r="D195" s="164"/>
      <c r="E195" s="164"/>
      <c r="F195" s="164"/>
      <c r="G195" s="164"/>
      <c r="H195" s="164"/>
      <c r="I195" s="164"/>
      <c r="J195" s="164"/>
      <c r="K195" s="164"/>
      <c r="L195" s="164"/>
      <c r="M195" s="164"/>
      <c r="N195" s="104"/>
    </row>
    <row r="196" spans="1:14" ht="15.95" hidden="1" customHeight="1">
      <c r="A196" s="164"/>
      <c r="B196" s="164"/>
      <c r="C196" s="164"/>
      <c r="D196" s="164"/>
      <c r="E196" s="164"/>
      <c r="F196" s="164"/>
      <c r="G196" s="164"/>
      <c r="H196" s="164"/>
      <c r="I196" s="164"/>
      <c r="J196" s="164"/>
      <c r="K196" s="164"/>
      <c r="L196" s="164"/>
      <c r="M196" s="164"/>
      <c r="N196" s="104"/>
    </row>
    <row r="197" spans="1:14" ht="15.95" hidden="1" customHeight="1">
      <c r="A197" s="164"/>
      <c r="B197" s="164"/>
      <c r="C197" s="164"/>
      <c r="D197" s="164"/>
      <c r="E197" s="164"/>
      <c r="F197" s="164"/>
      <c r="G197" s="164"/>
      <c r="H197" s="164"/>
      <c r="I197" s="164"/>
      <c r="J197" s="164"/>
      <c r="K197" s="164"/>
      <c r="L197" s="164"/>
      <c r="M197" s="164"/>
      <c r="N197" s="104"/>
    </row>
    <row r="198" spans="1:14" ht="15.95" hidden="1" customHeight="1">
      <c r="A198" s="164"/>
      <c r="B198" s="164"/>
      <c r="C198" s="164"/>
      <c r="D198" s="164"/>
      <c r="E198" s="164"/>
      <c r="F198" s="164"/>
      <c r="G198" s="164"/>
      <c r="H198" s="164"/>
      <c r="I198" s="164"/>
      <c r="J198" s="164"/>
      <c r="K198" s="164"/>
      <c r="L198" s="164"/>
      <c r="M198" s="164"/>
      <c r="N198" s="104"/>
    </row>
    <row r="199" spans="1:14" ht="15.95" hidden="1" customHeight="1">
      <c r="A199" s="164"/>
      <c r="B199" s="164"/>
      <c r="C199" s="164"/>
      <c r="D199" s="164"/>
      <c r="E199" s="164"/>
      <c r="F199" s="164"/>
      <c r="G199" s="164"/>
      <c r="H199" s="164"/>
      <c r="I199" s="164"/>
      <c r="J199" s="164"/>
      <c r="K199" s="164"/>
      <c r="L199" s="164"/>
      <c r="M199" s="164"/>
      <c r="N199" s="104"/>
    </row>
    <row r="200" spans="1:14" ht="15.95" hidden="1" customHeight="1">
      <c r="A200" s="164"/>
      <c r="B200" s="164"/>
      <c r="C200" s="164"/>
      <c r="D200" s="164"/>
      <c r="E200" s="164"/>
      <c r="F200" s="164"/>
      <c r="G200" s="164"/>
      <c r="H200" s="164"/>
      <c r="I200" s="164"/>
      <c r="J200" s="164"/>
      <c r="K200" s="164"/>
      <c r="L200" s="164"/>
      <c r="M200" s="164"/>
      <c r="N200" s="104"/>
    </row>
    <row r="201" spans="1:14" ht="15.95" hidden="1" customHeight="1">
      <c r="A201" s="164"/>
      <c r="B201" s="164"/>
      <c r="C201" s="164"/>
      <c r="D201" s="164"/>
      <c r="E201" s="164"/>
      <c r="F201" s="164"/>
      <c r="G201" s="164"/>
      <c r="H201" s="164"/>
      <c r="I201" s="164"/>
      <c r="J201" s="164"/>
      <c r="K201" s="164"/>
      <c r="L201" s="164"/>
      <c r="M201" s="164"/>
      <c r="N201" s="104"/>
    </row>
    <row r="202" spans="1:14" ht="15.95" hidden="1" customHeight="1">
      <c r="A202" s="164"/>
      <c r="B202" s="164"/>
      <c r="C202" s="164"/>
      <c r="D202" s="164"/>
      <c r="E202" s="164"/>
      <c r="F202" s="164"/>
      <c r="G202" s="164"/>
      <c r="H202" s="164"/>
      <c r="I202" s="164"/>
      <c r="J202" s="164"/>
      <c r="K202" s="164"/>
      <c r="L202" s="164"/>
      <c r="M202" s="164"/>
      <c r="N202" s="104"/>
    </row>
    <row r="203" spans="1:14" ht="15.95" hidden="1" customHeight="1">
      <c r="A203" s="164"/>
      <c r="B203" s="164"/>
      <c r="C203" s="164"/>
      <c r="D203" s="164"/>
      <c r="E203" s="164"/>
      <c r="F203" s="164"/>
      <c r="G203" s="164"/>
      <c r="H203" s="164"/>
      <c r="I203" s="164"/>
      <c r="J203" s="164"/>
      <c r="K203" s="164"/>
      <c r="L203" s="164"/>
      <c r="M203" s="164"/>
      <c r="N203" s="104"/>
    </row>
    <row r="204" spans="1:14" ht="15.95" hidden="1" customHeight="1">
      <c r="A204" s="164"/>
      <c r="B204" s="164"/>
      <c r="C204" s="164"/>
      <c r="D204" s="164"/>
      <c r="E204" s="164"/>
      <c r="F204" s="164"/>
      <c r="G204" s="164"/>
      <c r="H204" s="164"/>
      <c r="I204" s="164"/>
      <c r="J204" s="164"/>
      <c r="K204" s="164"/>
      <c r="L204" s="164"/>
      <c r="M204" s="164"/>
      <c r="N204" s="104"/>
    </row>
    <row r="205" spans="1:14" ht="15.95" hidden="1" customHeight="1">
      <c r="A205" s="164"/>
      <c r="B205" s="164"/>
      <c r="C205" s="164"/>
      <c r="D205" s="164"/>
      <c r="E205" s="164"/>
      <c r="F205" s="164"/>
      <c r="G205" s="164"/>
      <c r="H205" s="164"/>
      <c r="I205" s="164"/>
      <c r="J205" s="164"/>
      <c r="K205" s="164"/>
      <c r="L205" s="164"/>
      <c r="M205" s="164"/>
      <c r="N205" s="104"/>
    </row>
    <row r="206" spans="1:14" ht="15.95" hidden="1" customHeight="1">
      <c r="A206" s="164"/>
      <c r="B206" s="164"/>
      <c r="C206" s="164"/>
      <c r="D206" s="164"/>
      <c r="E206" s="164"/>
      <c r="F206" s="164"/>
      <c r="G206" s="164"/>
      <c r="H206" s="164"/>
      <c r="I206" s="164"/>
      <c r="J206" s="164"/>
      <c r="K206" s="164"/>
      <c r="L206" s="164"/>
      <c r="M206" s="164"/>
      <c r="N206" s="104"/>
    </row>
    <row r="207" spans="1:14" ht="15.95" hidden="1" customHeight="1">
      <c r="A207" s="164"/>
      <c r="B207" s="164"/>
      <c r="C207" s="164"/>
      <c r="D207" s="164"/>
      <c r="E207" s="164"/>
      <c r="F207" s="164"/>
      <c r="G207" s="164"/>
      <c r="H207" s="164"/>
      <c r="I207" s="164"/>
      <c r="J207" s="164"/>
      <c r="K207" s="164"/>
      <c r="L207" s="164"/>
      <c r="M207" s="164"/>
      <c r="N207" s="104"/>
    </row>
    <row r="208" spans="1:14" ht="15.95" hidden="1" customHeight="1">
      <c r="A208" s="164"/>
      <c r="B208" s="164"/>
      <c r="C208" s="164"/>
      <c r="D208" s="164"/>
      <c r="E208" s="164"/>
      <c r="F208" s="164"/>
      <c r="G208" s="164"/>
      <c r="H208" s="164"/>
      <c r="I208" s="164"/>
      <c r="J208" s="164"/>
      <c r="K208" s="164"/>
      <c r="L208" s="164"/>
      <c r="M208" s="164"/>
      <c r="N208" s="104"/>
    </row>
    <row r="209" spans="1:14" ht="15.95" hidden="1" customHeight="1">
      <c r="A209" s="164"/>
      <c r="B209" s="164"/>
      <c r="C209" s="164"/>
      <c r="D209" s="164"/>
      <c r="E209" s="164"/>
      <c r="F209" s="164"/>
      <c r="G209" s="164"/>
      <c r="H209" s="164"/>
      <c r="I209" s="164"/>
      <c r="J209" s="164"/>
      <c r="K209" s="164"/>
      <c r="L209" s="164"/>
      <c r="M209" s="164"/>
      <c r="N209" s="104"/>
    </row>
    <row r="210" spans="1:14" ht="15.95" hidden="1" customHeight="1">
      <c r="A210" s="164"/>
      <c r="B210" s="164"/>
      <c r="C210" s="164"/>
      <c r="D210" s="164"/>
      <c r="E210" s="164"/>
      <c r="F210" s="164"/>
      <c r="G210" s="164"/>
      <c r="H210" s="164"/>
      <c r="I210" s="164"/>
      <c r="J210" s="164"/>
      <c r="K210" s="164"/>
      <c r="L210" s="164"/>
      <c r="M210" s="164"/>
      <c r="N210" s="104"/>
    </row>
    <row r="211" spans="1:14" ht="15.95" hidden="1" customHeight="1">
      <c r="A211" s="164"/>
      <c r="B211" s="164"/>
      <c r="C211" s="164"/>
      <c r="D211" s="164"/>
      <c r="E211" s="164"/>
      <c r="F211" s="164"/>
      <c r="G211" s="164"/>
      <c r="H211" s="164"/>
      <c r="I211" s="164"/>
      <c r="J211" s="164"/>
      <c r="K211" s="164"/>
      <c r="L211" s="164"/>
      <c r="M211" s="164"/>
      <c r="N211" s="104"/>
    </row>
    <row r="212" spans="1:14" ht="15.95" hidden="1" customHeight="1">
      <c r="A212" s="164"/>
      <c r="B212" s="164"/>
      <c r="C212" s="164"/>
      <c r="D212" s="164"/>
      <c r="E212" s="164"/>
      <c r="F212" s="164"/>
      <c r="G212" s="164"/>
      <c r="H212" s="164"/>
      <c r="I212" s="164"/>
      <c r="J212" s="164"/>
      <c r="K212" s="164"/>
      <c r="L212" s="164"/>
      <c r="M212" s="164"/>
      <c r="N212" s="104"/>
    </row>
    <row r="213" spans="1:14" ht="15.95" hidden="1" customHeight="1">
      <c r="A213" s="164"/>
      <c r="B213" s="164"/>
      <c r="C213" s="164"/>
      <c r="D213" s="164"/>
      <c r="E213" s="164"/>
      <c r="F213" s="164"/>
      <c r="G213" s="164"/>
      <c r="H213" s="164"/>
      <c r="I213" s="164"/>
      <c r="J213" s="164"/>
      <c r="K213" s="164"/>
      <c r="L213" s="164"/>
      <c r="M213" s="164"/>
      <c r="N213" s="104"/>
    </row>
    <row r="214" spans="1:14" ht="15.95" hidden="1" customHeight="1">
      <c r="A214" s="164"/>
      <c r="B214" s="164"/>
      <c r="C214" s="164"/>
      <c r="D214" s="164"/>
      <c r="E214" s="164"/>
      <c r="F214" s="164"/>
      <c r="G214" s="164"/>
      <c r="H214" s="164"/>
      <c r="I214" s="164"/>
      <c r="J214" s="164"/>
      <c r="K214" s="164"/>
      <c r="L214" s="164"/>
      <c r="M214" s="164"/>
      <c r="N214" s="104"/>
    </row>
    <row r="215" spans="1:14" ht="15.95" hidden="1" customHeight="1">
      <c r="A215" s="164"/>
      <c r="B215" s="164"/>
      <c r="C215" s="164"/>
      <c r="D215" s="164"/>
      <c r="E215" s="164"/>
      <c r="F215" s="164"/>
      <c r="G215" s="164"/>
      <c r="H215" s="164"/>
      <c r="I215" s="164"/>
      <c r="J215" s="164"/>
      <c r="K215" s="164"/>
      <c r="L215" s="164"/>
      <c r="M215" s="164"/>
      <c r="N215" s="104"/>
    </row>
    <row r="216" spans="1:14" ht="15.95" hidden="1" customHeight="1">
      <c r="A216" s="164"/>
      <c r="B216" s="164"/>
      <c r="C216" s="164"/>
      <c r="D216" s="164"/>
      <c r="E216" s="164"/>
      <c r="F216" s="164"/>
      <c r="G216" s="164"/>
      <c r="H216" s="164"/>
      <c r="I216" s="164"/>
      <c r="J216" s="164"/>
      <c r="K216" s="164"/>
      <c r="L216" s="164"/>
      <c r="M216" s="164"/>
      <c r="N216" s="104"/>
    </row>
    <row r="217" spans="1:14" ht="15.95" hidden="1" customHeight="1">
      <c r="A217" s="164"/>
      <c r="B217" s="164"/>
      <c r="C217" s="164"/>
      <c r="D217" s="164"/>
      <c r="E217" s="164"/>
      <c r="F217" s="164"/>
      <c r="G217" s="164"/>
      <c r="H217" s="164"/>
      <c r="I217" s="164"/>
      <c r="J217" s="164"/>
      <c r="K217" s="164"/>
      <c r="L217" s="164"/>
      <c r="M217" s="164"/>
      <c r="N217" s="104"/>
    </row>
    <row r="218" spans="1:14" ht="15.95" hidden="1" customHeight="1">
      <c r="A218" s="164"/>
      <c r="B218" s="164"/>
      <c r="C218" s="164"/>
      <c r="D218" s="164"/>
      <c r="E218" s="164"/>
      <c r="F218" s="164"/>
      <c r="G218" s="164"/>
      <c r="H218" s="164"/>
      <c r="I218" s="164"/>
      <c r="J218" s="164"/>
      <c r="K218" s="164"/>
      <c r="L218" s="164"/>
      <c r="M218" s="164"/>
      <c r="N218" s="104"/>
    </row>
    <row r="219" spans="1:14" ht="15.95" hidden="1" customHeight="1">
      <c r="A219" s="164"/>
      <c r="B219" s="164"/>
      <c r="C219" s="164"/>
      <c r="D219" s="164"/>
      <c r="E219" s="164"/>
      <c r="F219" s="164"/>
      <c r="G219" s="164"/>
      <c r="H219" s="164"/>
      <c r="I219" s="164"/>
      <c r="J219" s="164"/>
      <c r="K219" s="164"/>
      <c r="L219" s="164"/>
      <c r="M219" s="164"/>
      <c r="N219" s="104"/>
    </row>
    <row r="220" spans="1:14" ht="15.95" hidden="1" customHeight="1">
      <c r="A220" s="164"/>
      <c r="B220" s="164"/>
      <c r="C220" s="164"/>
      <c r="D220" s="164"/>
      <c r="E220" s="164"/>
      <c r="F220" s="164"/>
      <c r="G220" s="164"/>
      <c r="H220" s="164"/>
      <c r="I220" s="164"/>
      <c r="J220" s="164"/>
      <c r="K220" s="164"/>
      <c r="L220" s="164"/>
      <c r="M220" s="164"/>
      <c r="N220" s="104"/>
    </row>
    <row r="221" spans="1:14" ht="15.95" hidden="1" customHeight="1">
      <c r="A221" s="164"/>
      <c r="B221" s="164"/>
      <c r="C221" s="164"/>
      <c r="D221" s="164"/>
      <c r="E221" s="164"/>
      <c r="F221" s="164"/>
      <c r="G221" s="164"/>
      <c r="H221" s="164"/>
      <c r="I221" s="164"/>
      <c r="J221" s="164"/>
      <c r="K221" s="164"/>
      <c r="L221" s="164"/>
      <c r="M221" s="164"/>
      <c r="N221" s="104"/>
    </row>
    <row r="222" spans="1:14" ht="15.95" hidden="1" customHeight="1">
      <c r="A222" s="164"/>
      <c r="B222" s="164"/>
      <c r="C222" s="164"/>
      <c r="D222" s="164"/>
      <c r="E222" s="164"/>
      <c r="F222" s="164"/>
      <c r="G222" s="164"/>
      <c r="H222" s="164"/>
      <c r="I222" s="164"/>
      <c r="J222" s="164"/>
      <c r="K222" s="164"/>
      <c r="L222" s="164"/>
      <c r="M222" s="164"/>
      <c r="N222" s="104"/>
    </row>
    <row r="223" spans="1:14" ht="15.95" hidden="1" customHeight="1">
      <c r="A223" s="164"/>
      <c r="B223" s="164"/>
      <c r="C223" s="164"/>
      <c r="D223" s="164"/>
      <c r="E223" s="164"/>
      <c r="F223" s="164"/>
      <c r="G223" s="164"/>
      <c r="H223" s="164"/>
      <c r="I223" s="164"/>
      <c r="J223" s="164"/>
      <c r="K223" s="164"/>
      <c r="L223" s="164"/>
      <c r="M223" s="164"/>
      <c r="N223" s="104"/>
    </row>
    <row r="224" spans="1:14" ht="15.95" hidden="1" customHeight="1">
      <c r="A224" s="164"/>
      <c r="B224" s="164"/>
      <c r="C224" s="164"/>
      <c r="D224" s="164"/>
      <c r="E224" s="164"/>
      <c r="F224" s="164"/>
      <c r="G224" s="164"/>
      <c r="H224" s="164"/>
      <c r="I224" s="164"/>
      <c r="J224" s="164"/>
      <c r="K224" s="164"/>
      <c r="L224" s="164"/>
      <c r="M224" s="164"/>
      <c r="N224" s="104"/>
    </row>
    <row r="225" spans="1:14" ht="15.95" hidden="1" customHeight="1">
      <c r="A225" s="164"/>
      <c r="B225" s="164"/>
      <c r="C225" s="164"/>
      <c r="D225" s="164"/>
      <c r="E225" s="164"/>
      <c r="F225" s="164"/>
      <c r="G225" s="164"/>
      <c r="H225" s="164"/>
      <c r="I225" s="164"/>
      <c r="J225" s="164"/>
      <c r="K225" s="164"/>
      <c r="L225" s="164"/>
      <c r="M225" s="164"/>
      <c r="N225" s="104"/>
    </row>
    <row r="226" spans="1:14" ht="15.95" hidden="1" customHeight="1">
      <c r="A226" s="164"/>
      <c r="B226" s="164"/>
      <c r="C226" s="164"/>
      <c r="D226" s="164"/>
      <c r="E226" s="164"/>
      <c r="F226" s="164"/>
      <c r="G226" s="164"/>
      <c r="H226" s="164"/>
      <c r="I226" s="164"/>
      <c r="J226" s="164"/>
      <c r="K226" s="164"/>
      <c r="L226" s="164"/>
      <c r="M226" s="164"/>
      <c r="N226" s="104"/>
    </row>
    <row r="227" spans="1:14" ht="15.95" hidden="1" customHeight="1">
      <c r="A227" s="164"/>
      <c r="B227" s="164"/>
      <c r="C227" s="164"/>
      <c r="D227" s="164"/>
      <c r="E227" s="164"/>
      <c r="F227" s="164"/>
      <c r="G227" s="164"/>
      <c r="H227" s="164"/>
      <c r="I227" s="164"/>
      <c r="J227" s="164"/>
      <c r="K227" s="164"/>
      <c r="L227" s="164"/>
      <c r="M227" s="164"/>
      <c r="N227" s="104"/>
    </row>
    <row r="228" spans="1:14" ht="15.95" hidden="1" customHeight="1">
      <c r="A228" s="164"/>
      <c r="B228" s="164"/>
      <c r="C228" s="164"/>
      <c r="D228" s="164"/>
      <c r="E228" s="164"/>
      <c r="F228" s="164"/>
      <c r="G228" s="164"/>
      <c r="H228" s="164"/>
      <c r="I228" s="164"/>
      <c r="J228" s="164"/>
      <c r="K228" s="164"/>
      <c r="L228" s="164"/>
      <c r="M228" s="164"/>
      <c r="N228" s="104"/>
    </row>
    <row r="229" spans="1:14" ht="15.95" hidden="1" customHeight="1">
      <c r="A229" s="164"/>
      <c r="B229" s="164"/>
      <c r="C229" s="164"/>
      <c r="D229" s="164"/>
      <c r="E229" s="164"/>
      <c r="F229" s="164"/>
      <c r="G229" s="164"/>
      <c r="H229" s="164"/>
      <c r="I229" s="164"/>
      <c r="J229" s="164"/>
      <c r="K229" s="164"/>
      <c r="L229" s="164"/>
      <c r="M229" s="164"/>
      <c r="N229" s="104"/>
    </row>
    <row r="230" spans="1:14" ht="15.95" hidden="1" customHeight="1">
      <c r="A230" s="164"/>
      <c r="B230" s="164"/>
      <c r="C230" s="164"/>
      <c r="D230" s="164"/>
      <c r="E230" s="164"/>
      <c r="F230" s="164"/>
      <c r="G230" s="164"/>
      <c r="H230" s="164"/>
      <c r="I230" s="164"/>
      <c r="J230" s="164"/>
      <c r="K230" s="164"/>
      <c r="L230" s="164"/>
      <c r="M230" s="164"/>
      <c r="N230" s="104"/>
    </row>
    <row r="231" spans="1:14" ht="15.95" hidden="1" customHeight="1">
      <c r="A231" s="164"/>
      <c r="B231" s="164"/>
      <c r="C231" s="164"/>
      <c r="D231" s="164"/>
      <c r="E231" s="164"/>
      <c r="F231" s="164"/>
      <c r="G231" s="164"/>
      <c r="H231" s="164"/>
      <c r="I231" s="164"/>
      <c r="J231" s="164"/>
      <c r="K231" s="164"/>
      <c r="L231" s="164"/>
      <c r="M231" s="164"/>
      <c r="N231" s="104"/>
    </row>
    <row r="232" spans="1:14" ht="15.95" hidden="1" customHeight="1">
      <c r="A232" s="164"/>
      <c r="B232" s="164"/>
      <c r="C232" s="164"/>
      <c r="D232" s="164"/>
      <c r="E232" s="164"/>
      <c r="F232" s="164"/>
      <c r="G232" s="164"/>
      <c r="H232" s="164"/>
      <c r="I232" s="164"/>
      <c r="J232" s="164"/>
      <c r="K232" s="164"/>
      <c r="L232" s="164"/>
      <c r="M232" s="164"/>
      <c r="N232" s="104"/>
    </row>
    <row r="233" spans="1:14" ht="15.95" hidden="1" customHeight="1">
      <c r="A233" s="164"/>
      <c r="B233" s="164"/>
      <c r="C233" s="164"/>
      <c r="D233" s="164"/>
      <c r="E233" s="164"/>
      <c r="F233" s="164"/>
      <c r="G233" s="164"/>
      <c r="H233" s="164"/>
      <c r="I233" s="164"/>
      <c r="J233" s="164"/>
      <c r="K233" s="164"/>
      <c r="L233" s="164"/>
      <c r="M233" s="164"/>
      <c r="N233" s="104"/>
    </row>
    <row r="234" spans="1:14" ht="15.95" hidden="1" customHeight="1">
      <c r="A234" s="164"/>
      <c r="B234" s="164"/>
      <c r="C234" s="164"/>
      <c r="D234" s="164"/>
      <c r="E234" s="164"/>
      <c r="F234" s="164"/>
      <c r="G234" s="164"/>
      <c r="H234" s="164"/>
      <c r="I234" s="164"/>
      <c r="J234" s="164"/>
      <c r="K234" s="164"/>
      <c r="L234" s="164"/>
      <c r="M234" s="164"/>
      <c r="N234" s="104"/>
    </row>
    <row r="235" spans="1:14" ht="15.95" hidden="1" customHeight="1">
      <c r="A235" s="164"/>
      <c r="B235" s="164"/>
      <c r="C235" s="164"/>
      <c r="D235" s="164"/>
      <c r="E235" s="164"/>
      <c r="F235" s="164"/>
      <c r="G235" s="164"/>
      <c r="H235" s="164"/>
      <c r="I235" s="164"/>
      <c r="J235" s="164"/>
      <c r="K235" s="164"/>
      <c r="L235" s="164"/>
      <c r="M235" s="164"/>
      <c r="N235" s="104"/>
    </row>
    <row r="236" spans="1:14" ht="15.95" hidden="1" customHeight="1">
      <c r="A236" s="164"/>
      <c r="B236" s="164"/>
      <c r="C236" s="164"/>
      <c r="D236" s="164"/>
      <c r="E236" s="164"/>
      <c r="F236" s="164"/>
      <c r="G236" s="164"/>
      <c r="H236" s="164"/>
      <c r="I236" s="164"/>
      <c r="J236" s="164"/>
      <c r="K236" s="164"/>
      <c r="L236" s="164"/>
      <c r="M236" s="164"/>
      <c r="N236" s="104"/>
    </row>
    <row r="237" spans="1:14" ht="15.95" hidden="1" customHeight="1">
      <c r="A237" s="164"/>
      <c r="B237" s="164"/>
      <c r="C237" s="164"/>
      <c r="D237" s="164"/>
      <c r="E237" s="164"/>
      <c r="F237" s="164"/>
      <c r="G237" s="164"/>
      <c r="H237" s="164"/>
      <c r="I237" s="164"/>
      <c r="J237" s="164"/>
      <c r="K237" s="164"/>
      <c r="L237" s="164"/>
      <c r="M237" s="164"/>
      <c r="N237" s="104"/>
    </row>
    <row r="238" spans="1:14" ht="15.95" hidden="1" customHeight="1">
      <c r="A238" s="164"/>
      <c r="B238" s="164"/>
      <c r="C238" s="164"/>
      <c r="D238" s="164"/>
      <c r="E238" s="164"/>
      <c r="F238" s="164"/>
      <c r="G238" s="164"/>
      <c r="H238" s="164"/>
      <c r="I238" s="164"/>
      <c r="J238" s="164"/>
      <c r="K238" s="164"/>
      <c r="L238" s="164"/>
      <c r="M238" s="164"/>
      <c r="N238" s="104"/>
    </row>
    <row r="239" spans="1:14" ht="15.95" hidden="1" customHeight="1">
      <c r="A239" s="164"/>
      <c r="B239" s="164"/>
      <c r="C239" s="164"/>
      <c r="D239" s="164"/>
      <c r="E239" s="164"/>
      <c r="F239" s="164"/>
      <c r="G239" s="164"/>
      <c r="H239" s="164"/>
      <c r="I239" s="164"/>
      <c r="J239" s="164"/>
      <c r="K239" s="164"/>
      <c r="L239" s="164"/>
      <c r="M239" s="164"/>
      <c r="N239" s="104"/>
    </row>
    <row r="240" spans="1:14" ht="15.95" hidden="1" customHeight="1">
      <c r="A240" s="164"/>
      <c r="B240" s="164"/>
      <c r="C240" s="164"/>
      <c r="D240" s="164"/>
      <c r="E240" s="164"/>
      <c r="F240" s="164"/>
      <c r="G240" s="164"/>
      <c r="H240" s="164"/>
      <c r="I240" s="164"/>
      <c r="J240" s="164"/>
      <c r="K240" s="164"/>
      <c r="L240" s="164"/>
      <c r="M240" s="164"/>
      <c r="N240" s="104"/>
    </row>
    <row r="241" spans="1:14" ht="15.95" hidden="1" customHeight="1">
      <c r="A241" s="164"/>
      <c r="B241" s="164"/>
      <c r="C241" s="164"/>
      <c r="D241" s="164"/>
      <c r="E241" s="164"/>
      <c r="F241" s="164"/>
      <c r="G241" s="164"/>
      <c r="H241" s="164"/>
      <c r="I241" s="164"/>
      <c r="J241" s="164"/>
      <c r="K241" s="164"/>
      <c r="L241" s="164"/>
      <c r="M241" s="164"/>
      <c r="N241" s="104"/>
    </row>
    <row r="242" spans="1:14" ht="15.95" hidden="1" customHeight="1">
      <c r="A242" s="164"/>
      <c r="B242" s="164"/>
      <c r="C242" s="164"/>
      <c r="D242" s="164"/>
      <c r="E242" s="164"/>
      <c r="F242" s="164"/>
      <c r="G242" s="164"/>
      <c r="H242" s="164"/>
      <c r="I242" s="164"/>
      <c r="J242" s="164"/>
      <c r="K242" s="164"/>
      <c r="L242" s="164"/>
      <c r="M242" s="164"/>
      <c r="N242" s="104"/>
    </row>
    <row r="243" spans="1:14" ht="15.95" hidden="1" customHeight="1">
      <c r="A243" s="164"/>
      <c r="B243" s="164"/>
      <c r="C243" s="164"/>
      <c r="D243" s="164"/>
      <c r="E243" s="164"/>
      <c r="F243" s="164"/>
      <c r="G243" s="164"/>
      <c r="H243" s="164"/>
      <c r="I243" s="164"/>
      <c r="J243" s="164"/>
      <c r="K243" s="164"/>
      <c r="L243" s="164"/>
      <c r="M243" s="164"/>
      <c r="N243" s="104"/>
    </row>
    <row r="244" spans="1:14" ht="15.95" hidden="1" customHeight="1">
      <c r="A244" s="164"/>
      <c r="B244" s="164"/>
      <c r="C244" s="164"/>
      <c r="D244" s="164"/>
      <c r="E244" s="164"/>
      <c r="F244" s="164"/>
      <c r="G244" s="164"/>
      <c r="H244" s="164"/>
      <c r="I244" s="164"/>
      <c r="J244" s="164"/>
      <c r="K244" s="164"/>
      <c r="L244" s="164"/>
      <c r="M244" s="164"/>
      <c r="N244" s="104"/>
    </row>
    <row r="245" spans="1:14" ht="15.95" hidden="1" customHeight="1">
      <c r="A245" s="164"/>
      <c r="B245" s="164"/>
      <c r="C245" s="164"/>
      <c r="D245" s="164"/>
      <c r="E245" s="164"/>
      <c r="F245" s="164"/>
      <c r="G245" s="164"/>
      <c r="H245" s="164"/>
      <c r="I245" s="164"/>
      <c r="J245" s="164"/>
      <c r="K245" s="164"/>
      <c r="L245" s="164"/>
      <c r="M245" s="164"/>
      <c r="N245" s="104"/>
    </row>
    <row r="246" spans="1:14" ht="15.95" hidden="1" customHeight="1">
      <c r="A246" s="164"/>
      <c r="B246" s="164"/>
      <c r="C246" s="164"/>
      <c r="D246" s="164"/>
      <c r="E246" s="164"/>
      <c r="F246" s="164"/>
      <c r="G246" s="164"/>
      <c r="H246" s="164"/>
      <c r="I246" s="164"/>
      <c r="J246" s="164"/>
      <c r="K246" s="164"/>
      <c r="L246" s="164"/>
      <c r="M246" s="164"/>
      <c r="N246" s="104"/>
    </row>
    <row r="247" spans="1:14" ht="15.95" hidden="1" customHeight="1">
      <c r="A247" s="164"/>
      <c r="B247" s="164"/>
      <c r="C247" s="164"/>
      <c r="D247" s="164"/>
      <c r="E247" s="164"/>
      <c r="F247" s="164"/>
      <c r="G247" s="164"/>
      <c r="H247" s="164"/>
      <c r="I247" s="164"/>
      <c r="J247" s="164"/>
      <c r="K247" s="164"/>
      <c r="L247" s="164"/>
      <c r="M247" s="164"/>
      <c r="N247" s="104"/>
    </row>
    <row r="248" spans="1:14" ht="15.95" hidden="1" customHeight="1">
      <c r="A248" s="164"/>
      <c r="B248" s="164"/>
      <c r="C248" s="164"/>
      <c r="D248" s="164"/>
      <c r="E248" s="164"/>
      <c r="F248" s="164"/>
      <c r="G248" s="164"/>
      <c r="H248" s="164"/>
      <c r="I248" s="164"/>
      <c r="J248" s="164"/>
      <c r="K248" s="164"/>
      <c r="L248" s="164"/>
      <c r="M248" s="164"/>
      <c r="N248" s="104"/>
    </row>
    <row r="249" spans="1:14" ht="15.95" hidden="1" customHeight="1">
      <c r="A249" s="164"/>
      <c r="B249" s="164"/>
      <c r="C249" s="164"/>
      <c r="D249" s="164"/>
      <c r="E249" s="164"/>
      <c r="F249" s="164"/>
      <c r="G249" s="164"/>
      <c r="H249" s="164"/>
      <c r="I249" s="164"/>
      <c r="J249" s="164"/>
      <c r="K249" s="164"/>
      <c r="L249" s="164"/>
      <c r="M249" s="164"/>
      <c r="N249" s="104"/>
    </row>
    <row r="250" spans="1:14" ht="15.95" hidden="1" customHeight="1">
      <c r="A250" s="164"/>
      <c r="B250" s="164"/>
      <c r="C250" s="164"/>
      <c r="D250" s="164"/>
      <c r="E250" s="164"/>
      <c r="F250" s="164"/>
      <c r="G250" s="164"/>
      <c r="H250" s="164"/>
      <c r="I250" s="164"/>
      <c r="J250" s="164"/>
      <c r="K250" s="164"/>
      <c r="L250" s="164"/>
      <c r="M250" s="164"/>
      <c r="N250" s="104"/>
    </row>
    <row r="251" spans="1:14" ht="15.95" hidden="1" customHeight="1">
      <c r="A251" s="164"/>
      <c r="B251" s="164"/>
      <c r="C251" s="164"/>
      <c r="D251" s="164"/>
      <c r="E251" s="164"/>
      <c r="F251" s="164"/>
      <c r="G251" s="164"/>
      <c r="H251" s="164"/>
      <c r="I251" s="164"/>
      <c r="J251" s="164"/>
      <c r="K251" s="164"/>
      <c r="L251" s="164"/>
      <c r="M251" s="164"/>
      <c r="N251" s="104"/>
    </row>
    <row r="252" spans="1:14" ht="15.95" hidden="1" customHeight="1">
      <c r="A252" s="164"/>
      <c r="B252" s="164"/>
      <c r="C252" s="164"/>
      <c r="D252" s="164"/>
      <c r="E252" s="164"/>
      <c r="F252" s="164"/>
      <c r="G252" s="164"/>
      <c r="H252" s="164"/>
      <c r="I252" s="164"/>
      <c r="J252" s="164"/>
      <c r="K252" s="164"/>
      <c r="L252" s="164"/>
      <c r="M252" s="164"/>
      <c r="N252" s="104"/>
    </row>
    <row r="253" spans="1:14" ht="15.95" hidden="1" customHeight="1">
      <c r="A253" s="164"/>
      <c r="B253" s="164"/>
      <c r="C253" s="164"/>
      <c r="D253" s="164"/>
      <c r="E253" s="164"/>
      <c r="F253" s="164"/>
      <c r="G253" s="164"/>
      <c r="H253" s="164"/>
      <c r="I253" s="164"/>
      <c r="J253" s="164"/>
      <c r="K253" s="164"/>
      <c r="L253" s="164"/>
      <c r="M253" s="164"/>
      <c r="N253" s="104"/>
    </row>
    <row r="254" spans="1:14" ht="15.95" hidden="1" customHeight="1">
      <c r="A254" s="164"/>
      <c r="B254" s="164"/>
      <c r="C254" s="164"/>
      <c r="D254" s="164"/>
      <c r="E254" s="164"/>
      <c r="F254" s="164"/>
      <c r="G254" s="164"/>
      <c r="H254" s="164"/>
      <c r="I254" s="164"/>
      <c r="J254" s="164"/>
      <c r="K254" s="164"/>
      <c r="L254" s="164"/>
      <c r="M254" s="164"/>
      <c r="N254" s="104"/>
    </row>
    <row r="255" spans="1:14" ht="15.95" hidden="1" customHeight="1">
      <c r="A255" s="164"/>
      <c r="B255" s="164"/>
      <c r="C255" s="164"/>
      <c r="D255" s="164"/>
      <c r="E255" s="164"/>
      <c r="F255" s="164"/>
      <c r="G255" s="164"/>
      <c r="H255" s="164"/>
      <c r="I255" s="164"/>
      <c r="J255" s="164"/>
      <c r="K255" s="164"/>
      <c r="L255" s="164"/>
      <c r="M255" s="164"/>
      <c r="N255" s="104"/>
    </row>
    <row r="256" spans="1:14" ht="15.95" hidden="1" customHeight="1">
      <c r="A256" s="164"/>
      <c r="B256" s="164"/>
      <c r="C256" s="164"/>
      <c r="D256" s="164"/>
      <c r="E256" s="164"/>
      <c r="F256" s="164"/>
      <c r="G256" s="164"/>
      <c r="H256" s="164"/>
      <c r="I256" s="164"/>
      <c r="J256" s="164"/>
      <c r="K256" s="164"/>
      <c r="L256" s="164"/>
      <c r="M256" s="164"/>
      <c r="N256" s="104"/>
    </row>
    <row r="257" spans="1:14" ht="15.95" hidden="1" customHeight="1">
      <c r="A257" s="164"/>
      <c r="B257" s="164"/>
      <c r="C257" s="164"/>
      <c r="D257" s="164"/>
      <c r="E257" s="164"/>
      <c r="F257" s="164"/>
      <c r="G257" s="164"/>
      <c r="H257" s="164"/>
      <c r="I257" s="164"/>
      <c r="J257" s="164"/>
      <c r="K257" s="164"/>
      <c r="L257" s="164"/>
      <c r="M257" s="164"/>
      <c r="N257" s="104"/>
    </row>
    <row r="258" spans="1:14" ht="15.95" hidden="1" customHeight="1">
      <c r="A258" s="164"/>
      <c r="B258" s="164"/>
      <c r="C258" s="164"/>
      <c r="D258" s="164"/>
      <c r="E258" s="164"/>
      <c r="F258" s="164"/>
      <c r="G258" s="164"/>
      <c r="H258" s="164"/>
      <c r="I258" s="164"/>
      <c r="J258" s="164"/>
      <c r="K258" s="164"/>
      <c r="L258" s="164"/>
      <c r="M258" s="164"/>
      <c r="N258" s="104"/>
    </row>
    <row r="259" spans="1:14" ht="15.95" hidden="1" customHeight="1">
      <c r="A259" s="164"/>
      <c r="B259" s="164"/>
      <c r="C259" s="164"/>
      <c r="D259" s="164"/>
      <c r="E259" s="164"/>
      <c r="F259" s="164"/>
      <c r="G259" s="164"/>
      <c r="H259" s="164"/>
      <c r="I259" s="164"/>
      <c r="J259" s="164"/>
      <c r="K259" s="164"/>
      <c r="L259" s="164"/>
      <c r="M259" s="164"/>
      <c r="N259" s="104"/>
    </row>
    <row r="260" spans="1:14" ht="15.95" hidden="1" customHeight="1">
      <c r="A260" s="164"/>
      <c r="B260" s="164"/>
      <c r="C260" s="164"/>
      <c r="D260" s="164"/>
      <c r="E260" s="164"/>
      <c r="F260" s="164"/>
      <c r="G260" s="164"/>
      <c r="H260" s="164"/>
      <c r="I260" s="164"/>
      <c r="J260" s="164"/>
      <c r="K260" s="164"/>
      <c r="L260" s="164"/>
      <c r="M260" s="164"/>
      <c r="N260" s="104"/>
    </row>
    <row r="261" spans="1:14" ht="15.95" hidden="1" customHeight="1">
      <c r="A261" s="164"/>
      <c r="B261" s="164"/>
      <c r="C261" s="164"/>
      <c r="D261" s="164"/>
      <c r="E261" s="164"/>
      <c r="F261" s="164"/>
      <c r="G261" s="164"/>
      <c r="H261" s="164"/>
      <c r="I261" s="164"/>
      <c r="J261" s="164"/>
      <c r="K261" s="164"/>
      <c r="L261" s="164"/>
      <c r="M261" s="164"/>
      <c r="N261" s="104"/>
    </row>
    <row r="262" spans="1:14" ht="15.95" hidden="1" customHeight="1">
      <c r="A262" s="164"/>
      <c r="B262" s="164"/>
      <c r="C262" s="164"/>
      <c r="D262" s="164"/>
      <c r="E262" s="164"/>
      <c r="F262" s="164"/>
      <c r="G262" s="164"/>
      <c r="H262" s="164"/>
      <c r="I262" s="164"/>
      <c r="J262" s="164"/>
      <c r="K262" s="164"/>
      <c r="L262" s="164"/>
      <c r="M262" s="164"/>
      <c r="N262" s="104"/>
    </row>
    <row r="263" spans="1:14" ht="15.95" hidden="1" customHeight="1">
      <c r="A263" s="164"/>
      <c r="B263" s="164"/>
      <c r="C263" s="164"/>
      <c r="D263" s="164"/>
      <c r="E263" s="164"/>
      <c r="F263" s="164"/>
      <c r="G263" s="164"/>
      <c r="H263" s="164"/>
      <c r="I263" s="164"/>
      <c r="J263" s="164"/>
      <c r="K263" s="164"/>
      <c r="L263" s="164"/>
      <c r="M263" s="164"/>
      <c r="N263" s="104"/>
    </row>
    <row r="264" spans="1:14" ht="15.95" hidden="1" customHeight="1">
      <c r="A264" s="164"/>
      <c r="B264" s="164"/>
      <c r="C264" s="164"/>
      <c r="D264" s="164"/>
      <c r="E264" s="164"/>
      <c r="F264" s="164"/>
      <c r="G264" s="164"/>
      <c r="H264" s="164"/>
      <c r="I264" s="164"/>
      <c r="J264" s="164"/>
      <c r="K264" s="164"/>
      <c r="L264" s="164"/>
      <c r="M264" s="164"/>
      <c r="N264" s="104"/>
    </row>
    <row r="265" spans="1:14" ht="15.95" hidden="1" customHeight="1">
      <c r="A265" s="164"/>
      <c r="B265" s="164"/>
      <c r="C265" s="164"/>
      <c r="D265" s="164"/>
      <c r="E265" s="164"/>
      <c r="F265" s="164"/>
      <c r="G265" s="164"/>
      <c r="H265" s="164"/>
      <c r="I265" s="164"/>
      <c r="J265" s="164"/>
      <c r="K265" s="164"/>
      <c r="L265" s="164"/>
      <c r="M265" s="164"/>
      <c r="N265" s="104"/>
    </row>
    <row r="266" spans="1:14" ht="15.95" hidden="1" customHeight="1">
      <c r="A266" s="164"/>
      <c r="B266" s="164"/>
      <c r="C266" s="164"/>
      <c r="D266" s="164"/>
      <c r="E266" s="164"/>
      <c r="F266" s="164"/>
      <c r="G266" s="164"/>
      <c r="H266" s="164"/>
      <c r="I266" s="164"/>
      <c r="J266" s="164"/>
      <c r="K266" s="164"/>
      <c r="L266" s="164"/>
      <c r="M266" s="164"/>
      <c r="N266" s="104"/>
    </row>
    <row r="267" spans="1:14" ht="15.95" hidden="1" customHeight="1">
      <c r="A267" s="164"/>
      <c r="B267" s="164"/>
      <c r="C267" s="164"/>
      <c r="D267" s="164"/>
      <c r="E267" s="164"/>
      <c r="F267" s="164"/>
      <c r="G267" s="164"/>
      <c r="H267" s="164"/>
      <c r="I267" s="164"/>
      <c r="J267" s="164"/>
      <c r="K267" s="164"/>
      <c r="L267" s="164"/>
      <c r="M267" s="164"/>
      <c r="N267" s="104"/>
    </row>
    <row r="268" spans="1:14" ht="15.95" hidden="1" customHeight="1">
      <c r="A268" s="164"/>
      <c r="B268" s="164"/>
      <c r="C268" s="164"/>
      <c r="D268" s="164"/>
      <c r="E268" s="164"/>
      <c r="F268" s="164"/>
      <c r="G268" s="164"/>
      <c r="H268" s="164"/>
      <c r="I268" s="164"/>
      <c r="J268" s="164"/>
      <c r="K268" s="164"/>
      <c r="L268" s="164"/>
      <c r="M268" s="164"/>
      <c r="N268" s="104"/>
    </row>
    <row r="269" spans="1:14" ht="15.95" hidden="1" customHeight="1">
      <c r="A269" s="164"/>
      <c r="B269" s="164"/>
      <c r="C269" s="164"/>
      <c r="D269" s="164"/>
      <c r="E269" s="164"/>
      <c r="F269" s="164"/>
      <c r="G269" s="164"/>
      <c r="H269" s="164"/>
      <c r="I269" s="164"/>
      <c r="J269" s="164"/>
      <c r="K269" s="164"/>
      <c r="L269" s="164"/>
      <c r="M269" s="164"/>
      <c r="N269" s="104"/>
    </row>
    <row r="270" spans="1:14" ht="15.95" hidden="1" customHeight="1">
      <c r="A270" s="164"/>
      <c r="B270" s="164"/>
      <c r="C270" s="164"/>
      <c r="D270" s="164"/>
      <c r="E270" s="164"/>
      <c r="F270" s="164"/>
      <c r="G270" s="164"/>
      <c r="H270" s="164"/>
      <c r="I270" s="164"/>
      <c r="J270" s="164"/>
      <c r="K270" s="164"/>
      <c r="L270" s="164"/>
      <c r="M270" s="164"/>
      <c r="N270" s="104"/>
    </row>
    <row r="271" spans="1:14" ht="15.95" hidden="1" customHeight="1">
      <c r="A271" s="164"/>
      <c r="B271" s="164"/>
      <c r="C271" s="164"/>
      <c r="D271" s="164"/>
      <c r="E271" s="164"/>
      <c r="F271" s="164"/>
      <c r="G271" s="164"/>
      <c r="H271" s="164"/>
      <c r="I271" s="164"/>
      <c r="J271" s="164"/>
      <c r="K271" s="164"/>
      <c r="L271" s="164"/>
      <c r="M271" s="164"/>
      <c r="N271" s="104"/>
    </row>
    <row r="272" spans="1:14" ht="15.95" hidden="1" customHeight="1">
      <c r="A272" s="164"/>
      <c r="B272" s="164"/>
      <c r="C272" s="164"/>
      <c r="D272" s="164"/>
      <c r="E272" s="164"/>
      <c r="F272" s="164"/>
      <c r="G272" s="164"/>
      <c r="H272" s="164"/>
      <c r="I272" s="164"/>
      <c r="J272" s="164"/>
      <c r="K272" s="164"/>
      <c r="L272" s="164"/>
      <c r="M272" s="164"/>
      <c r="N272" s="104"/>
    </row>
    <row r="273" spans="1:14" ht="15.95" hidden="1" customHeight="1">
      <c r="A273" s="164"/>
      <c r="B273" s="164"/>
      <c r="C273" s="164"/>
      <c r="D273" s="164"/>
      <c r="E273" s="164"/>
      <c r="F273" s="164"/>
      <c r="G273" s="164"/>
      <c r="H273" s="164"/>
      <c r="I273" s="164"/>
      <c r="J273" s="164"/>
      <c r="K273" s="164"/>
      <c r="L273" s="164"/>
      <c r="M273" s="164"/>
      <c r="N273" s="104"/>
    </row>
    <row r="274" spans="1:14" ht="15.95" hidden="1" customHeight="1">
      <c r="A274" s="164"/>
      <c r="B274" s="164"/>
      <c r="C274" s="164"/>
      <c r="D274" s="164"/>
      <c r="E274" s="164"/>
      <c r="F274" s="164"/>
      <c r="G274" s="164"/>
      <c r="H274" s="164"/>
      <c r="I274" s="164"/>
      <c r="J274" s="164"/>
      <c r="K274" s="164"/>
      <c r="L274" s="164"/>
      <c r="M274" s="164"/>
      <c r="N274" s="104"/>
    </row>
    <row r="275" spans="1:14" ht="15.95" hidden="1" customHeight="1">
      <c r="A275" s="164"/>
      <c r="B275" s="164"/>
      <c r="C275" s="164"/>
      <c r="D275" s="164"/>
      <c r="E275" s="164"/>
      <c r="F275" s="164"/>
      <c r="G275" s="164"/>
      <c r="H275" s="164"/>
      <c r="I275" s="164"/>
      <c r="J275" s="164"/>
      <c r="K275" s="164"/>
      <c r="L275" s="164"/>
      <c r="M275" s="164"/>
      <c r="N275" s="104"/>
    </row>
    <row r="276" spans="1:14" ht="15.95" hidden="1" customHeight="1">
      <c r="A276" s="164"/>
      <c r="B276" s="164"/>
      <c r="C276" s="164"/>
      <c r="D276" s="164"/>
      <c r="E276" s="164"/>
      <c r="F276" s="164"/>
      <c r="G276" s="164"/>
      <c r="H276" s="164"/>
      <c r="I276" s="164"/>
      <c r="J276" s="164"/>
      <c r="K276" s="164"/>
      <c r="L276" s="164"/>
      <c r="M276" s="164"/>
      <c r="N276" s="104"/>
    </row>
    <row r="277" spans="1:14" ht="15.95" hidden="1" customHeight="1">
      <c r="A277" s="164"/>
      <c r="B277" s="164"/>
      <c r="C277" s="164"/>
      <c r="D277" s="164"/>
      <c r="E277" s="164"/>
      <c r="F277" s="164"/>
      <c r="G277" s="164"/>
      <c r="H277" s="164"/>
      <c r="I277" s="164"/>
      <c r="J277" s="164"/>
      <c r="K277" s="164"/>
      <c r="L277" s="164"/>
      <c r="M277" s="164"/>
      <c r="N277" s="104"/>
    </row>
    <row r="278" spans="1:14" ht="15.95" hidden="1" customHeight="1">
      <c r="A278" s="164"/>
      <c r="B278" s="164"/>
      <c r="C278" s="164"/>
      <c r="D278" s="164"/>
      <c r="E278" s="164"/>
      <c r="F278" s="164"/>
      <c r="G278" s="164"/>
      <c r="H278" s="164"/>
      <c r="I278" s="164"/>
      <c r="J278" s="164"/>
      <c r="K278" s="164"/>
      <c r="L278" s="164"/>
      <c r="M278" s="164"/>
      <c r="N278" s="104"/>
    </row>
    <row r="279" spans="1:14" ht="15.95" hidden="1" customHeight="1">
      <c r="A279" s="164"/>
      <c r="B279" s="164"/>
      <c r="C279" s="164"/>
      <c r="D279" s="164"/>
      <c r="E279" s="164"/>
      <c r="F279" s="164"/>
      <c r="G279" s="164"/>
      <c r="H279" s="164"/>
      <c r="I279" s="164"/>
      <c r="J279" s="164"/>
      <c r="K279" s="164"/>
      <c r="L279" s="164"/>
      <c r="M279" s="164"/>
      <c r="N279" s="104"/>
    </row>
    <row r="280" spans="1:14" ht="15.95" hidden="1" customHeight="1">
      <c r="A280" s="164"/>
      <c r="B280" s="164"/>
      <c r="C280" s="164"/>
      <c r="D280" s="164"/>
      <c r="E280" s="164"/>
      <c r="F280" s="164"/>
      <c r="G280" s="164"/>
      <c r="H280" s="164"/>
      <c r="I280" s="164"/>
      <c r="J280" s="164"/>
      <c r="K280" s="164"/>
      <c r="L280" s="164"/>
      <c r="M280" s="164"/>
      <c r="N280" s="104"/>
    </row>
    <row r="281" spans="1:14" ht="15.95" hidden="1" customHeight="1">
      <c r="A281" s="164"/>
      <c r="B281" s="164"/>
      <c r="C281" s="164"/>
      <c r="D281" s="164"/>
      <c r="E281" s="164"/>
      <c r="F281" s="164"/>
      <c r="G281" s="164"/>
      <c r="H281" s="164"/>
      <c r="I281" s="164"/>
      <c r="J281" s="164"/>
      <c r="K281" s="164"/>
      <c r="L281" s="164"/>
      <c r="M281" s="164"/>
      <c r="N281" s="104"/>
    </row>
    <row r="282" spans="1:14" ht="15.95" hidden="1" customHeight="1">
      <c r="A282" s="164"/>
      <c r="B282" s="164"/>
      <c r="C282" s="164"/>
      <c r="D282" s="164"/>
      <c r="E282" s="164"/>
      <c r="F282" s="164"/>
      <c r="G282" s="164"/>
      <c r="H282" s="164"/>
      <c r="I282" s="164"/>
      <c r="J282" s="164"/>
      <c r="K282" s="164"/>
      <c r="L282" s="164"/>
      <c r="M282" s="164"/>
      <c r="N282" s="104"/>
    </row>
    <row r="283" spans="1:14" ht="15.95" hidden="1" customHeight="1">
      <c r="A283" s="164"/>
      <c r="B283" s="164"/>
      <c r="C283" s="164"/>
      <c r="D283" s="164"/>
      <c r="E283" s="164"/>
      <c r="F283" s="164"/>
      <c r="G283" s="164"/>
      <c r="H283" s="164"/>
      <c r="I283" s="164"/>
      <c r="J283" s="164"/>
      <c r="K283" s="164"/>
      <c r="L283" s="164"/>
      <c r="M283" s="164"/>
      <c r="N283" s="104"/>
    </row>
    <row r="284" spans="1:14" ht="15.95" hidden="1" customHeight="1">
      <c r="A284" s="164"/>
      <c r="B284" s="164"/>
      <c r="C284" s="164"/>
      <c r="D284" s="164"/>
      <c r="E284" s="164"/>
      <c r="F284" s="164"/>
      <c r="G284" s="164"/>
      <c r="H284" s="164"/>
      <c r="I284" s="164"/>
      <c r="J284" s="164"/>
      <c r="K284" s="164"/>
      <c r="L284" s="164"/>
      <c r="M284" s="164"/>
      <c r="N284" s="104"/>
    </row>
    <row r="285" spans="1:14" ht="15.95" hidden="1" customHeight="1">
      <c r="A285" s="164"/>
      <c r="B285" s="164"/>
      <c r="C285" s="164"/>
      <c r="D285" s="164"/>
      <c r="E285" s="164"/>
      <c r="F285" s="164"/>
      <c r="G285" s="164"/>
      <c r="H285" s="164"/>
      <c r="I285" s="164"/>
      <c r="J285" s="164"/>
      <c r="K285" s="164"/>
      <c r="L285" s="164"/>
      <c r="M285" s="164"/>
      <c r="N285" s="104"/>
    </row>
    <row r="286" spans="1:14" ht="15.95" hidden="1" customHeight="1">
      <c r="A286" s="164"/>
      <c r="B286" s="164"/>
      <c r="C286" s="164"/>
      <c r="D286" s="164"/>
      <c r="E286" s="164"/>
      <c r="F286" s="164"/>
      <c r="G286" s="164"/>
      <c r="H286" s="164"/>
      <c r="I286" s="164"/>
      <c r="J286" s="164"/>
      <c r="K286" s="164"/>
      <c r="L286" s="164"/>
      <c r="M286" s="164"/>
      <c r="N286" s="104"/>
    </row>
    <row r="287" spans="1:14" ht="15.95" hidden="1" customHeight="1"/>
    <row r="288" spans="1:14" ht="15.95" customHeight="1"/>
  </sheetData>
  <sheetProtection algorithmName="SHA-512" hashValue="i6G7dFl3GdPnnozKGkUlCjQrS5EUS2wqQ4nh+ns1tkE3ELOTBPO9NXxSxpY1zn4NVEzfdDf9lG1PXkEcYsfj0w==" saltValue="Hbw8BsrR01tB5xGekQyDzQ==" spinCount="100000" sheet="1" objects="1" scenarios="1"/>
  <mergeCells count="70">
    <mergeCell ref="C2:M4"/>
    <mergeCell ref="A64:N64"/>
    <mergeCell ref="I53:M53"/>
    <mergeCell ref="I58:M58"/>
    <mergeCell ref="D54:G54"/>
    <mergeCell ref="H54:H55"/>
    <mergeCell ref="D55:G55"/>
    <mergeCell ref="D56:G56"/>
    <mergeCell ref="I56:M56"/>
    <mergeCell ref="C14:N14"/>
    <mergeCell ref="J8:M9"/>
    <mergeCell ref="D7:G7"/>
    <mergeCell ref="D8:G8"/>
    <mergeCell ref="C9:C10"/>
    <mergeCell ref="D12:H12"/>
    <mergeCell ref="D11:H11"/>
    <mergeCell ref="D13:H13"/>
    <mergeCell ref="H19:H20"/>
    <mergeCell ref="D19:G19"/>
    <mergeCell ref="D20:G20"/>
    <mergeCell ref="C16:N17"/>
    <mergeCell ref="C18:N18"/>
    <mergeCell ref="D21:G21"/>
    <mergeCell ref="I62:M62"/>
    <mergeCell ref="C59:G59"/>
    <mergeCell ref="C60:G60"/>
    <mergeCell ref="C61:G61"/>
    <mergeCell ref="I59:M59"/>
    <mergeCell ref="I60:M60"/>
    <mergeCell ref="I61:M61"/>
    <mergeCell ref="I21:M21"/>
    <mergeCell ref="D26:G26"/>
    <mergeCell ref="I26:M26"/>
    <mergeCell ref="D31:G31"/>
    <mergeCell ref="I31:M31"/>
    <mergeCell ref="D29:G29"/>
    <mergeCell ref="D46:G46"/>
    <mergeCell ref="I46:M46"/>
    <mergeCell ref="D22:G22"/>
    <mergeCell ref="D27:G27"/>
    <mergeCell ref="D32:G32"/>
    <mergeCell ref="D47:G47"/>
    <mergeCell ref="I47:M47"/>
    <mergeCell ref="D23:H23"/>
    <mergeCell ref="D24:G24"/>
    <mergeCell ref="H24:H25"/>
    <mergeCell ref="D25:G25"/>
    <mergeCell ref="D36:G36"/>
    <mergeCell ref="I36:M36"/>
    <mergeCell ref="H34:H35"/>
    <mergeCell ref="D35:G35"/>
    <mergeCell ref="D34:G34"/>
    <mergeCell ref="H29:H30"/>
    <mergeCell ref="D30:G30"/>
    <mergeCell ref="D52:G52"/>
    <mergeCell ref="I52:M52"/>
    <mergeCell ref="D57:G57"/>
    <mergeCell ref="I57:M57"/>
    <mergeCell ref="D37:G37"/>
    <mergeCell ref="D50:G50"/>
    <mergeCell ref="D51:G51"/>
    <mergeCell ref="C43:M43"/>
    <mergeCell ref="I48:M48"/>
    <mergeCell ref="C40:M42"/>
    <mergeCell ref="I51:M51"/>
    <mergeCell ref="D44:G44"/>
    <mergeCell ref="H44:H45"/>
    <mergeCell ref="D45:G45"/>
    <mergeCell ref="D49:G49"/>
    <mergeCell ref="H49:H50"/>
  </mergeCells>
  <phoneticPr fontId="37"/>
  <conditionalFormatting sqref="D22:G22">
    <cfRule type="expression" dxfId="37" priority="33">
      <formula>$D$21="別居（国外）"</formula>
    </cfRule>
  </conditionalFormatting>
  <conditionalFormatting sqref="C27">
    <cfRule type="expression" dxfId="36" priority="19">
      <formula>$D$26="別居（国外）"</formula>
    </cfRule>
  </conditionalFormatting>
  <conditionalFormatting sqref="D27:G27">
    <cfRule type="expression" dxfId="35" priority="18">
      <formula>$D$26="別居（国外）"</formula>
    </cfRule>
  </conditionalFormatting>
  <conditionalFormatting sqref="D32:G32">
    <cfRule type="expression" dxfId="34" priority="16">
      <formula>$D$31="別居（国外）"</formula>
    </cfRule>
  </conditionalFormatting>
  <conditionalFormatting sqref="D37:G37">
    <cfRule type="expression" dxfId="33" priority="14">
      <formula>$D$36="別居（国外）"</formula>
    </cfRule>
  </conditionalFormatting>
  <conditionalFormatting sqref="C47">
    <cfRule type="expression" dxfId="32" priority="13">
      <formula>$D$46="別居（国外）"</formula>
    </cfRule>
  </conditionalFormatting>
  <conditionalFormatting sqref="D47:G47">
    <cfRule type="expression" dxfId="31" priority="12">
      <formula>$D$46="別居（国外）"</formula>
    </cfRule>
  </conditionalFormatting>
  <conditionalFormatting sqref="C52">
    <cfRule type="expression" dxfId="30" priority="11">
      <formula>$D$51="別居（国外）"</formula>
    </cfRule>
  </conditionalFormatting>
  <conditionalFormatting sqref="D52:G52">
    <cfRule type="expression" dxfId="29" priority="10">
      <formula>$D$51="別居（国外）"</formula>
    </cfRule>
  </conditionalFormatting>
  <conditionalFormatting sqref="C57">
    <cfRule type="expression" dxfId="28" priority="9">
      <formula>$D$56="別居（国外）"</formula>
    </cfRule>
  </conditionalFormatting>
  <conditionalFormatting sqref="D57:G57">
    <cfRule type="expression" dxfId="27" priority="8">
      <formula>$D$56="別居（国外）"</formula>
    </cfRule>
  </conditionalFormatting>
  <conditionalFormatting sqref="C22">
    <cfRule type="expression" dxfId="26" priority="3">
      <formula>$D$21="別居（国外）"</formula>
    </cfRule>
  </conditionalFormatting>
  <conditionalFormatting sqref="C32">
    <cfRule type="expression" dxfId="25" priority="2">
      <formula>$D$31="別居（国外）"</formula>
    </cfRule>
  </conditionalFormatting>
  <conditionalFormatting sqref="C37">
    <cfRule type="expression" dxfId="24" priority="1">
      <formula>$D$36="別居（国外）"</formula>
    </cfRule>
  </conditionalFormatting>
  <dataValidations count="18">
    <dataValidation type="list" allowBlank="1" showInputMessage="1" showErrorMessage="1" sqref="H63">
      <formula1>"　,同居,別居"</formula1>
    </dataValidation>
    <dataValidation type="whole" allowBlank="1" showInputMessage="1" showErrorMessage="1" sqref="G10">
      <formula1>1</formula1>
      <formula2>31</formula2>
    </dataValidation>
    <dataValidation type="whole" allowBlank="1" showInputMessage="1" showErrorMessage="1" sqref="F10">
      <formula1>1</formula1>
      <formula2>12</formula2>
    </dataValidation>
    <dataValidation type="whole" allowBlank="1" showInputMessage="1" showErrorMessage="1" sqref="E10">
      <formula1>1</formula1>
      <formula2>2020</formula2>
    </dataValidation>
    <dataValidation type="list" allowBlank="1" showInputMessage="1" showErrorMessage="1" sqref="I20 I35 I25 I30 D10">
      <formula1>"選択してください,明治,大正,昭和,平成,西暦"</formula1>
    </dataValidation>
    <dataValidation type="list" allowBlank="1" showInputMessage="1" showErrorMessage="1" sqref="J7">
      <formula1>"□,■"</formula1>
    </dataValidation>
    <dataValidation type="list" allowBlank="1" showInputMessage="1" showErrorMessage="1" sqref="I45 I50 I55">
      <formula1>"選択してください,平成,令和,西暦"</formula1>
    </dataValidation>
    <dataValidation type="textLength" operator="equal" allowBlank="1" showInputMessage="1" showErrorMessage="1" errorTitle="番号を確認してください" error="個人番号は12桁です。" sqref="E62:E63">
      <formula1>12</formula1>
    </dataValidation>
    <dataValidation type="whole" allowBlank="1" showInputMessage="1" showErrorMessage="1" errorTitle="整数で入力してください。" error="整数で入力してください。" sqref="H10">
      <formula1>0</formula1>
      <formula2>9999999999</formula2>
    </dataValidation>
    <dataValidation type="list" allowBlank="1" showInputMessage="1" showErrorMessage="1" sqref="D21:G21 D26:G26 D31:G31 D36:G36">
      <formula1>"　,同居（直系尊属）,同居,別居,別居（国外）"</formula1>
    </dataValidation>
    <dataValidation type="whole" allowBlank="1" showInputMessage="1" showErrorMessage="1" errorTitle="数字で入力してください。" error="数字のみで入力してください。元年は1と入力してください。" sqref="J35 J25 J30 J20">
      <formula1>1</formula1>
      <formula2>2020</formula2>
    </dataValidation>
    <dataValidation type="whole" allowBlank="1" showInputMessage="1" showErrorMessage="1" errorTitle="数字のみで入力してください" error="1～12の数字のみで入力してください。" sqref="K55 K25 K30 K35 K45 K50 K20">
      <formula1>1</formula1>
      <formula2>12</formula2>
    </dataValidation>
    <dataValidation type="whole" allowBlank="1" showInputMessage="1" showErrorMessage="1" errorTitle="数字のみで入力してください" error="数字のみで入力してください。元年は1と入力してください。" sqref="J45 J50 J55">
      <formula1>1</formula1>
      <formula2>2020</formula2>
    </dataValidation>
    <dataValidation type="whole" allowBlank="1" showInputMessage="1" showErrorMessage="1" errorTitle="数字のみで入力してください" error="1~31の数字のみで入力してください。" sqref="L55 L50 L45 L35 L30 L25 L20">
      <formula1>1</formula1>
      <formula2>31</formula2>
    </dataValidation>
    <dataValidation type="list" allowBlank="1" showInputMessage="1" showErrorMessage="1" sqref="D27 D37 D22 D32">
      <formula1>"　選択してください,　30歳未満もしくは70歳以上である,　留学している,　障害者である,　年間38万円以上の仕送りをしている"</formula1>
    </dataValidation>
    <dataValidation type="list" allowBlank="1" showInputMessage="1" showErrorMessage="1" sqref="D46 D51:G51 D56:G56 D11:H11">
      <formula1>"　,同居,別居,別居（国外）"</formula1>
    </dataValidation>
    <dataValidation type="list" allowBlank="1" showInputMessage="1" showErrorMessage="1" sqref="D47:G47 D52:G52 D57:G57">
      <formula1>"　30歳未満もしくは70歳以上である"</formula1>
    </dataValidation>
    <dataValidation type="list" allowBlank="1" showInputMessage="1" showErrorMessage="1" sqref="D13:H13">
      <formula1>"　配偶者である"</formula1>
    </dataValidation>
  </dataValidations>
  <hyperlinks>
    <hyperlink ref="I59" location="障害者控除!A1" display="障害者控除を申告する方はこちら。"/>
    <hyperlink ref="I60" location="寡婦・ひとり親・勤労学生!A1" display="寡婦・ひとり親・勤労学生控除を申告する方はこちら。"/>
    <hyperlink ref="I61" location="医療費・寄附金!A1" display="医療費控除・寄附金控除・雑損控除を申告する方はこちら。"/>
    <hyperlink ref="C59" location="社会保険料・生命保険料!A1" display="社会保険料・生命保険料・地震保険料控除を申告する方はこちら。"/>
    <hyperlink ref="C61" location="はじめに!A1" display="個人情報の入力をする方はこちら"/>
    <hyperlink ref="C60" location="収入1!A1" display="給与収入・公的年金収入の入力をする方はこちら。"/>
    <hyperlink ref="C59:G59" location="社会保険・生命・地震保険!A1" display="社会保険料・生命保険料・地震保険料控除を申告する方。"/>
    <hyperlink ref="C60:G60" location="給与・年金!A1" display="収入金額を修正する方はこちら。"/>
    <hyperlink ref="C61:G61" location="はじめに!A1" display="個人情報の入力をする方はこちら"/>
    <hyperlink ref="I59:M59" location="障害者控除!A1" display="障害者控除を申告する方はこちら。"/>
    <hyperlink ref="I60:M60" location="寡婦・ひとり親・勤労学生!A1" display="寡婦・ひとり親・勤労学生控除を申告する方はこちら。"/>
    <hyperlink ref="I61:M61" location="医療費・寄附金!A1" display="医療費控除・寄附金控除・雑損控除を申告する方はこちら。"/>
    <hyperlink ref="I62:M62" location="'市民税・県民税申告書（印刷）'!A1" display="控除の入力が終了した方はこちら。申告書の印刷に進みます。"/>
  </hyperlinks>
  <pageMargins left="0.70866141732283472" right="0.70866141732283472" top="0.74803149606299213" bottom="0.74803149606299213" header="0.31496062992125984" footer="0.31496062992125984"/>
  <pageSetup paperSize="9" scale="62" orientation="landscape" r:id="rId1"/>
  <extLst>
    <ext xmlns:x14="http://schemas.microsoft.com/office/spreadsheetml/2009/9/main" uri="{78C0D931-6437-407d-A8EE-F0AAD7539E65}">
      <x14:conditionalFormattings>
        <x14:conditionalFormatting xmlns:xm="http://schemas.microsoft.com/office/excel/2006/main">
          <x14:cfRule type="expression" priority="78" id="{5A346562-5E43-47FE-9A79-E2E7DFDBD0B8}">
            <xm:f>計算用資料!$C$97&gt;計算用資料!$C$96</xm:f>
            <x14:dxf>
              <font>
                <color theme="1"/>
              </font>
              <fill>
                <patternFill>
                  <bgColor theme="0" tint="-0.14996795556505021"/>
                </patternFill>
              </fill>
              <border>
                <right style="thin">
                  <color auto="1"/>
                </right>
                <bottom style="thin">
                  <color auto="1"/>
                </bottom>
                <vertical/>
                <horizontal/>
              </border>
            </x14:dxf>
          </x14:cfRule>
          <xm:sqref>H26</xm:sqref>
        </x14:conditionalFormatting>
        <x14:conditionalFormatting xmlns:xm="http://schemas.microsoft.com/office/excel/2006/main">
          <x14:cfRule type="expression" priority="79" id="{BB2D6E4C-F1A1-4E1D-AD33-FE4D1F0425EE}">
            <xm:f>計算用資料!$C$97&gt;計算用資料!$C$96</xm:f>
            <x14:dxf>
              <font>
                <color theme="1"/>
              </font>
              <fill>
                <patternFill>
                  <bgColor theme="7" tint="0.79998168889431442"/>
                </patternFill>
              </fill>
              <border>
                <right style="thin">
                  <color auto="1"/>
                </right>
                <bottom style="thin">
                  <color auto="1"/>
                </bottom>
                <vertical/>
                <horizontal/>
              </border>
            </x14:dxf>
          </x14:cfRule>
          <xm:sqref>I26:M26</xm:sqref>
        </x14:conditionalFormatting>
        <x14:conditionalFormatting xmlns:xm="http://schemas.microsoft.com/office/excel/2006/main">
          <x14:cfRule type="expression" priority="80" id="{B921FC1B-356B-480E-A725-A34CDE910AF9}">
            <xm:f>計算用資料!$C$98&gt;計算用資料!$C$97</xm:f>
            <x14:dxf>
              <font>
                <color theme="1"/>
              </font>
              <fill>
                <patternFill>
                  <bgColor theme="0" tint="-0.14996795556505021"/>
                </patternFill>
              </fill>
              <border>
                <right style="thin">
                  <color auto="1"/>
                </right>
                <bottom style="thin">
                  <color auto="1"/>
                </bottom>
                <vertical/>
                <horizontal/>
              </border>
            </x14:dxf>
          </x14:cfRule>
          <xm:sqref>H31</xm:sqref>
        </x14:conditionalFormatting>
        <x14:conditionalFormatting xmlns:xm="http://schemas.microsoft.com/office/excel/2006/main">
          <x14:cfRule type="expression" priority="81" id="{509B5418-E929-4B29-9C22-96B49D130BD3}">
            <xm:f>計算用資料!$C$98&gt;計算用資料!$C$97</xm:f>
            <x14:dxf>
              <font>
                <color theme="1"/>
              </font>
              <fill>
                <patternFill>
                  <bgColor theme="7" tint="0.79998168889431442"/>
                </patternFill>
              </fill>
              <border>
                <right style="thin">
                  <color auto="1"/>
                </right>
                <bottom style="thin">
                  <color auto="1"/>
                </bottom>
                <vertical/>
                <horizontal/>
              </border>
            </x14:dxf>
          </x14:cfRule>
          <xm:sqref>I31:M31</xm:sqref>
        </x14:conditionalFormatting>
        <x14:conditionalFormatting xmlns:xm="http://schemas.microsoft.com/office/excel/2006/main">
          <x14:cfRule type="expression" priority="82" id="{F56DDA84-4DEF-43C9-9680-84D57AF0C9A6}">
            <xm:f>計算用資料!$C$99&gt;計算用資料!$C$98</xm:f>
            <x14:dxf>
              <font>
                <color theme="1"/>
              </font>
              <fill>
                <patternFill>
                  <bgColor theme="0" tint="-0.14996795556505021"/>
                </patternFill>
              </fill>
              <border>
                <right style="thin">
                  <color auto="1"/>
                </right>
                <bottom style="thin">
                  <color auto="1"/>
                </bottom>
                <vertical/>
                <horizontal/>
              </border>
            </x14:dxf>
          </x14:cfRule>
          <xm:sqref>H36</xm:sqref>
        </x14:conditionalFormatting>
        <x14:conditionalFormatting xmlns:xm="http://schemas.microsoft.com/office/excel/2006/main">
          <x14:cfRule type="expression" priority="83" id="{846A54F8-FCA3-405C-8A65-9E8F412FD542}">
            <xm:f>計算用資料!$C$99&gt;計算用資料!$C$98</xm:f>
            <x14:dxf>
              <font>
                <color theme="1"/>
              </font>
              <fill>
                <patternFill>
                  <bgColor theme="7" tint="0.79998168889431442"/>
                </patternFill>
              </fill>
              <border>
                <right style="thin">
                  <color auto="1"/>
                </right>
                <bottom style="thin">
                  <color auto="1"/>
                </bottom>
                <vertical/>
                <horizontal/>
              </border>
            </x14:dxf>
          </x14:cfRule>
          <xm:sqref>I36:M36</xm:sqref>
        </x14:conditionalFormatting>
        <x14:conditionalFormatting xmlns:xm="http://schemas.microsoft.com/office/excel/2006/main">
          <x14:cfRule type="expression" priority="84" id="{660A2ED9-43F0-4EF4-B9C2-D6055003850B}">
            <xm:f>計算用資料!$C$100&gt;計算用資料!$C$99</xm:f>
            <x14:dxf>
              <font>
                <color theme="1"/>
              </font>
              <fill>
                <patternFill>
                  <bgColor theme="0" tint="-0.14996795556505021"/>
                </patternFill>
              </fill>
              <border>
                <right style="thin">
                  <color auto="1"/>
                </right>
                <bottom style="thin">
                  <color auto="1"/>
                </bottom>
                <vertical/>
                <horizontal/>
              </border>
            </x14:dxf>
          </x14:cfRule>
          <xm:sqref>H46</xm:sqref>
        </x14:conditionalFormatting>
        <x14:conditionalFormatting xmlns:xm="http://schemas.microsoft.com/office/excel/2006/main">
          <x14:cfRule type="expression" priority="85" id="{613BD408-7D12-46C2-BBA4-8FB271E103FB}">
            <xm:f>計算用資料!$C$100&gt;計算用資料!$C$99</xm:f>
            <x14:dxf>
              <font>
                <color theme="1"/>
              </font>
              <fill>
                <patternFill>
                  <bgColor theme="7" tint="0.79998168889431442"/>
                </patternFill>
              </fill>
              <border>
                <right style="thin">
                  <color auto="1"/>
                </right>
                <bottom style="thin">
                  <color auto="1"/>
                </bottom>
                <vertical/>
                <horizontal/>
              </border>
            </x14:dxf>
          </x14:cfRule>
          <xm:sqref>I46:M46</xm:sqref>
        </x14:conditionalFormatting>
        <x14:conditionalFormatting xmlns:xm="http://schemas.microsoft.com/office/excel/2006/main">
          <x14:cfRule type="expression" priority="86" id="{51981F6D-A2E9-4975-A9F2-766073361728}">
            <xm:f>計算用資料!$C$101&gt;計算用資料!$C$100</xm:f>
            <x14:dxf>
              <font>
                <color theme="1"/>
              </font>
              <fill>
                <patternFill>
                  <bgColor theme="0" tint="-0.14996795556505021"/>
                </patternFill>
              </fill>
              <border>
                <right style="thin">
                  <color auto="1"/>
                </right>
                <bottom style="thin">
                  <color auto="1"/>
                </bottom>
                <vertical/>
                <horizontal/>
              </border>
            </x14:dxf>
          </x14:cfRule>
          <xm:sqref>H51</xm:sqref>
        </x14:conditionalFormatting>
        <x14:conditionalFormatting xmlns:xm="http://schemas.microsoft.com/office/excel/2006/main">
          <x14:cfRule type="expression" priority="87" id="{3FB8AFB2-EB46-4C57-8A3F-AA9562684A81}">
            <xm:f>計算用資料!$C$101&gt;計算用資料!$C$100</xm:f>
            <x14:dxf>
              <font>
                <color theme="1"/>
              </font>
              <fill>
                <patternFill>
                  <bgColor theme="7" tint="0.79998168889431442"/>
                </patternFill>
              </fill>
              <border>
                <right style="thin">
                  <color auto="1"/>
                </right>
                <bottom style="thin">
                  <color auto="1"/>
                </bottom>
                <vertical/>
                <horizontal/>
              </border>
            </x14:dxf>
          </x14:cfRule>
          <xm:sqref>I51:M51</xm:sqref>
        </x14:conditionalFormatting>
        <x14:conditionalFormatting xmlns:xm="http://schemas.microsoft.com/office/excel/2006/main">
          <x14:cfRule type="expression" priority="88" id="{0F38DCEB-C159-4417-8AD5-68AE95061DA0}">
            <xm:f>計算用資料!$C$102&gt;計算用資料!$C$101</xm:f>
            <x14:dxf>
              <font>
                <color theme="1"/>
              </font>
              <fill>
                <patternFill>
                  <bgColor theme="0" tint="-0.14996795556505021"/>
                </patternFill>
              </fill>
              <border>
                <right style="thin">
                  <color auto="1"/>
                </right>
                <bottom style="thin">
                  <color auto="1"/>
                </bottom>
                <vertical/>
                <horizontal/>
              </border>
            </x14:dxf>
          </x14:cfRule>
          <xm:sqref>H56</xm:sqref>
        </x14:conditionalFormatting>
        <x14:conditionalFormatting xmlns:xm="http://schemas.microsoft.com/office/excel/2006/main">
          <x14:cfRule type="expression" priority="89" id="{074E2F6A-01B4-4862-9360-701E1305A32C}">
            <xm:f>計算用資料!$C$102&gt;計算用資料!$C$101</xm:f>
            <x14:dxf>
              <font>
                <color theme="1"/>
              </font>
              <fill>
                <patternFill>
                  <bgColor theme="7" tint="0.79998168889431442"/>
                </patternFill>
              </fill>
              <border>
                <right style="thin">
                  <color auto="1"/>
                </right>
                <bottom style="thin">
                  <color auto="1"/>
                </bottom>
                <vertical/>
                <horizontal/>
              </border>
            </x14:dxf>
          </x14:cfRule>
          <xm:sqref>I56:M56</xm:sqref>
        </x14:conditionalFormatting>
        <x14:conditionalFormatting xmlns:xm="http://schemas.microsoft.com/office/excel/2006/main">
          <x14:cfRule type="expression" priority="90" id="{466821C4-555B-461F-BE96-88A370758DD3}">
            <xm:f>計算用資料!$C$96&gt;計算用資料!$C$95</xm:f>
            <x14:dxf>
              <font>
                <color theme="1"/>
              </font>
              <fill>
                <patternFill>
                  <bgColor theme="0" tint="-0.14996795556505021"/>
                </patternFill>
              </fill>
              <border>
                <right style="thin">
                  <color auto="1"/>
                </right>
                <bottom style="thin">
                  <color auto="1"/>
                </bottom>
                <vertical/>
                <horizontal/>
              </border>
            </x14:dxf>
          </x14:cfRule>
          <xm:sqref>H21</xm:sqref>
        </x14:conditionalFormatting>
        <x14:conditionalFormatting xmlns:xm="http://schemas.microsoft.com/office/excel/2006/main">
          <x14:cfRule type="expression" priority="91" id="{E15150DB-ABDC-4510-BFF8-AE51B54DC58E}">
            <xm:f>計算用資料!$C$96&gt;計算用資料!$C$95</xm:f>
            <x14:dxf>
              <font>
                <color theme="1"/>
              </font>
              <fill>
                <patternFill>
                  <bgColor theme="7" tint="0.79998168889431442"/>
                </patternFill>
              </fill>
              <border>
                <right style="thin">
                  <color auto="1"/>
                </right>
                <bottom style="thin">
                  <color auto="1"/>
                </bottom>
                <vertical/>
                <horizontal/>
              </border>
            </x14:dxf>
          </x14:cfRule>
          <xm:sqref>I21:M21</xm:sqref>
        </x14:conditionalFormatting>
        <x14:conditionalFormatting xmlns:xm="http://schemas.microsoft.com/office/excel/2006/main">
          <x14:cfRule type="expression" priority="5" id="{7BF7778B-8BA6-4DBB-89F7-16EF198DCA57}">
            <xm:f>計算用資料!$D$95="別居（国外）"</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C13</xm:sqref>
        </x14:conditionalFormatting>
        <x14:conditionalFormatting xmlns:xm="http://schemas.microsoft.com/office/excel/2006/main">
          <x14:cfRule type="expression" priority="4" id="{A8512C05-E5E6-455B-884A-A2A6C97F1E47}">
            <xm:f>計算用資料!$D$95="別居（国外）"</xm:f>
            <x14:dxf>
              <font>
                <color theme="1"/>
              </font>
              <fill>
                <patternFill>
                  <bgColor theme="7" tint="0.79998168889431442"/>
                </patternFill>
              </fill>
              <border>
                <left style="thin">
                  <color auto="1"/>
                </left>
                <right style="thin">
                  <color auto="1"/>
                </right>
                <top style="thin">
                  <color auto="1"/>
                </top>
                <bottom style="thin">
                  <color auto="1"/>
                </bottom>
                <vertical/>
                <horizontal/>
              </border>
            </x14:dxf>
          </x14:cfRule>
          <xm:sqref>D13:H13</xm:sqref>
        </x14:conditionalFormatting>
        <x14:conditionalFormatting xmlns:xm="http://schemas.microsoft.com/office/excel/2006/main">
          <x14:cfRule type="expression" priority="6" id="{1A45882B-83F5-4390-BF51-7601BA9192EB}">
            <xm:f>計算用資料!$C$95&gt;0</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C12</xm:sqref>
        </x14:conditionalFormatting>
        <x14:conditionalFormatting xmlns:xm="http://schemas.microsoft.com/office/excel/2006/main">
          <x14:cfRule type="expression" priority="7" id="{AB8A5544-41B4-4981-8BA6-C66FDF38C2FD}">
            <xm:f>計算用資料!$C$95&gt;0</xm:f>
            <x14:dxf>
              <font>
                <color theme="1"/>
              </font>
              <fill>
                <patternFill>
                  <bgColor theme="7" tint="0.79998168889431442"/>
                </patternFill>
              </fill>
              <border>
                <left style="thin">
                  <color auto="1"/>
                </left>
                <right style="thin">
                  <color auto="1"/>
                </right>
                <top style="thin">
                  <color auto="1"/>
                </top>
                <bottom style="thin">
                  <color auto="1"/>
                </bottom>
                <vertical/>
                <horizontal/>
              </border>
            </x14:dxf>
          </x14:cfRule>
          <xm:sqref>D12:H12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showRowColHeaders="0" workbookViewId="0">
      <selection activeCell="C2" sqref="C2"/>
    </sheetView>
  </sheetViews>
  <sheetFormatPr defaultColWidth="0" defaultRowHeight="15.95" customHeight="1" zeroHeight="1"/>
  <cols>
    <col min="1" max="1" width="5.375" style="75" customWidth="1"/>
    <col min="2" max="2" width="6.5" style="75" customWidth="1"/>
    <col min="3" max="3" width="15.75" style="75" customWidth="1"/>
    <col min="4" max="4" width="34" style="75" customWidth="1"/>
    <col min="5" max="5" width="9" style="75" customWidth="1"/>
    <col min="6" max="6" width="20.25" style="75" customWidth="1"/>
    <col min="7" max="7" width="39" style="75" customWidth="1"/>
    <col min="8" max="8" width="13.125" style="75" customWidth="1"/>
    <col min="9" max="9" width="9" style="75" customWidth="1"/>
    <col min="10" max="13" width="9" style="9" hidden="1" customWidth="1"/>
    <col min="14" max="14" width="12.25" style="9" hidden="1" customWidth="1"/>
    <col min="15" max="22" width="0" style="9" hidden="1" customWidth="1"/>
    <col min="23" max="16384" width="9" style="9" hidden="1"/>
  </cols>
  <sheetData>
    <row r="1" spans="1:13" s="11" customFormat="1" ht="15.95" customHeight="1">
      <c r="A1" s="313"/>
      <c r="B1" s="314" t="s">
        <v>219</v>
      </c>
      <c r="C1" s="327" t="s">
        <v>218</v>
      </c>
      <c r="D1" s="289"/>
      <c r="E1" s="289"/>
      <c r="F1" s="313"/>
      <c r="G1" s="313"/>
      <c r="H1" s="313"/>
      <c r="I1" s="313"/>
    </row>
    <row r="2" spans="1:13" ht="15.95" customHeight="1">
      <c r="A2" s="293"/>
      <c r="B2" s="329"/>
      <c r="C2" s="389" t="s">
        <v>1488</v>
      </c>
      <c r="D2" s="390"/>
      <c r="E2" s="390"/>
      <c r="F2" s="390"/>
      <c r="G2" s="390"/>
      <c r="H2" s="390"/>
      <c r="I2" s="390"/>
      <c r="J2" s="14"/>
      <c r="K2" s="14"/>
      <c r="L2" s="14"/>
      <c r="M2" s="14"/>
    </row>
    <row r="3" spans="1:13" ht="15.95" customHeight="1">
      <c r="A3" s="293"/>
      <c r="B3" s="329"/>
      <c r="C3" s="699" t="s">
        <v>1144</v>
      </c>
      <c r="D3" s="700"/>
      <c r="E3" s="700"/>
      <c r="F3" s="700"/>
      <c r="G3" s="700"/>
      <c r="H3" s="700"/>
      <c r="I3" s="700"/>
      <c r="J3" s="14"/>
      <c r="K3" s="14"/>
      <c r="L3" s="14"/>
      <c r="M3" s="14"/>
    </row>
    <row r="4" spans="1:13" ht="15.95" customHeight="1">
      <c r="A4" s="293"/>
      <c r="B4" s="329"/>
      <c r="C4" s="943" t="s">
        <v>1127</v>
      </c>
      <c r="D4" s="943"/>
      <c r="E4" s="943"/>
      <c r="F4" s="943"/>
      <c r="G4" s="943"/>
      <c r="H4" s="943"/>
      <c r="I4" s="943"/>
      <c r="J4" s="14"/>
      <c r="K4" s="14"/>
      <c r="L4" s="14"/>
      <c r="M4" s="14"/>
    </row>
    <row r="5" spans="1:13" ht="15.95" customHeight="1">
      <c r="A5" s="293"/>
      <c r="B5" s="329"/>
      <c r="C5" s="943"/>
      <c r="D5" s="943"/>
      <c r="E5" s="943"/>
      <c r="F5" s="943"/>
      <c r="G5" s="943"/>
      <c r="H5" s="943"/>
      <c r="I5" s="943"/>
      <c r="J5" s="14"/>
      <c r="K5" s="14"/>
      <c r="L5" s="14"/>
      <c r="M5" s="14"/>
    </row>
    <row r="6" spans="1:13" s="15" customFormat="1" ht="8.1" customHeight="1">
      <c r="A6" s="310"/>
      <c r="B6" s="356"/>
      <c r="C6" s="679"/>
      <c r="D6" s="679"/>
      <c r="E6" s="679"/>
      <c r="F6" s="679"/>
      <c r="G6" s="679"/>
      <c r="H6" s="679"/>
      <c r="I6" s="679"/>
      <c r="J6" s="14"/>
      <c r="K6" s="14"/>
      <c r="L6" s="14"/>
      <c r="M6" s="14"/>
    </row>
    <row r="7" spans="1:13" ht="15.95" customHeight="1">
      <c r="A7" s="293"/>
      <c r="B7" s="329"/>
      <c r="C7" s="699" t="s">
        <v>1145</v>
      </c>
      <c r="D7" s="700"/>
      <c r="E7" s="700"/>
      <c r="F7" s="700"/>
      <c r="G7" s="700"/>
      <c r="H7" s="700"/>
      <c r="I7" s="700"/>
      <c r="J7" s="14"/>
      <c r="K7" s="14"/>
      <c r="L7" s="14"/>
      <c r="M7" s="14"/>
    </row>
    <row r="8" spans="1:13" ht="15.95" customHeight="1">
      <c r="A8" s="293"/>
      <c r="B8" s="329"/>
      <c r="C8" s="943" t="s">
        <v>1128</v>
      </c>
      <c r="D8" s="943"/>
      <c r="E8" s="943"/>
      <c r="F8" s="943"/>
      <c r="G8" s="943"/>
      <c r="H8" s="943"/>
      <c r="I8" s="943"/>
      <c r="J8" s="14"/>
      <c r="K8" s="14"/>
      <c r="L8" s="14"/>
      <c r="M8" s="14"/>
    </row>
    <row r="9" spans="1:13" ht="15.95" customHeight="1">
      <c r="A9" s="293"/>
      <c r="B9" s="329"/>
      <c r="C9" s="943"/>
      <c r="D9" s="943"/>
      <c r="E9" s="943"/>
      <c r="F9" s="943"/>
      <c r="G9" s="943"/>
      <c r="H9" s="943"/>
      <c r="I9" s="943"/>
      <c r="J9" s="14"/>
      <c r="K9" s="14"/>
      <c r="L9" s="14"/>
      <c r="M9" s="14"/>
    </row>
    <row r="10" spans="1:13" ht="15.95" customHeight="1">
      <c r="A10" s="293"/>
      <c r="B10" s="329"/>
      <c r="C10" s="389" t="s">
        <v>956</v>
      </c>
      <c r="D10" s="390"/>
      <c r="E10" s="390"/>
      <c r="F10" s="390"/>
      <c r="G10" s="390"/>
      <c r="H10" s="390"/>
      <c r="I10" s="390"/>
      <c r="J10" s="14"/>
      <c r="K10" s="14"/>
      <c r="L10" s="14"/>
      <c r="M10" s="14"/>
    </row>
    <row r="11" spans="1:13" ht="7.5" customHeight="1">
      <c r="A11" s="293"/>
      <c r="B11" s="329"/>
      <c r="C11" s="389"/>
      <c r="D11" s="390"/>
      <c r="E11" s="390"/>
      <c r="F11" s="390"/>
      <c r="G11" s="390"/>
      <c r="H11" s="390"/>
      <c r="I11" s="390"/>
      <c r="J11" s="14"/>
      <c r="K11" s="14"/>
      <c r="L11" s="14"/>
      <c r="M11" s="14"/>
    </row>
    <row r="12" spans="1:13" ht="15.95" customHeight="1">
      <c r="A12" s="293"/>
      <c r="B12" s="329" t="s">
        <v>222</v>
      </c>
      <c r="C12" s="389" t="s">
        <v>220</v>
      </c>
      <c r="D12" s="390"/>
      <c r="E12" s="390"/>
      <c r="F12" s="390"/>
      <c r="G12" s="390"/>
      <c r="H12" s="390"/>
      <c r="I12" s="390"/>
      <c r="J12" s="14"/>
      <c r="K12" s="14"/>
      <c r="L12" s="14"/>
      <c r="M12" s="14"/>
    </row>
    <row r="13" spans="1:13" ht="15" customHeight="1">
      <c r="A13" s="293"/>
      <c r="B13" s="293"/>
      <c r="C13" s="318" t="s">
        <v>174</v>
      </c>
      <c r="D13" s="632"/>
      <c r="E13" s="293"/>
      <c r="F13" s="947" t="s">
        <v>1219</v>
      </c>
      <c r="G13" s="947"/>
      <c r="H13" s="947"/>
      <c r="I13" s="947"/>
    </row>
    <row r="14" spans="1:13" ht="15.95" customHeight="1">
      <c r="A14" s="293"/>
      <c r="B14" s="293"/>
      <c r="C14" s="318" t="s">
        <v>173</v>
      </c>
      <c r="D14" s="622"/>
      <c r="E14" s="293"/>
      <c r="F14" s="620" t="s">
        <v>447</v>
      </c>
      <c r="G14" s="697"/>
      <c r="H14" s="697"/>
      <c r="I14" s="293"/>
    </row>
    <row r="15" spans="1:13" ht="8.1" customHeight="1">
      <c r="A15" s="293"/>
      <c r="B15" s="293"/>
      <c r="C15" s="342"/>
      <c r="D15" s="342"/>
      <c r="E15" s="293"/>
      <c r="F15" s="293"/>
      <c r="G15" s="293"/>
      <c r="H15" s="293"/>
      <c r="I15" s="293"/>
    </row>
    <row r="16" spans="1:13" ht="15.75" customHeight="1">
      <c r="A16" s="293"/>
      <c r="B16" s="293"/>
      <c r="C16" s="887" t="s">
        <v>734</v>
      </c>
      <c r="D16" s="887"/>
      <c r="E16" s="293"/>
      <c r="F16" s="944" t="s">
        <v>735</v>
      </c>
      <c r="G16" s="944"/>
      <c r="H16" s="944"/>
      <c r="I16" s="293"/>
    </row>
    <row r="17" spans="1:17" ht="15.95" customHeight="1">
      <c r="A17" s="293"/>
      <c r="B17" s="293"/>
      <c r="C17" s="945" t="s">
        <v>447</v>
      </c>
      <c r="D17" s="946"/>
      <c r="E17" s="293"/>
      <c r="F17" s="678" t="str">
        <f>計算用資料!E108</f>
        <v/>
      </c>
      <c r="G17" s="698"/>
      <c r="H17" s="698"/>
      <c r="I17" s="293"/>
    </row>
    <row r="18" spans="1:17" ht="15.95" customHeight="1">
      <c r="A18" s="293"/>
      <c r="B18" s="293"/>
      <c r="C18" s="695"/>
      <c r="D18" s="696"/>
      <c r="E18" s="293"/>
      <c r="F18" s="293"/>
      <c r="G18" s="391"/>
      <c r="H18" s="391"/>
      <c r="I18" s="293"/>
    </row>
    <row r="19" spans="1:17" ht="15.95" customHeight="1">
      <c r="A19" s="293"/>
      <c r="B19" s="329" t="s">
        <v>223</v>
      </c>
      <c r="C19" s="389" t="s">
        <v>221</v>
      </c>
      <c r="D19" s="293"/>
      <c r="E19" s="293"/>
      <c r="F19" s="293"/>
      <c r="G19" s="293"/>
      <c r="H19" s="293"/>
      <c r="I19" s="293"/>
    </row>
    <row r="20" spans="1:17" ht="15" customHeight="1">
      <c r="A20" s="293"/>
      <c r="B20" s="293"/>
      <c r="C20" s="318" t="s">
        <v>174</v>
      </c>
      <c r="D20" s="632"/>
      <c r="E20" s="293"/>
      <c r="F20" s="948" t="s">
        <v>1220</v>
      </c>
      <c r="G20" s="947"/>
      <c r="H20" s="947"/>
      <c r="I20" s="947"/>
    </row>
    <row r="21" spans="1:17" ht="15.95" customHeight="1">
      <c r="A21" s="293"/>
      <c r="B21" s="293"/>
      <c r="C21" s="318" t="s">
        <v>173</v>
      </c>
      <c r="D21" s="622"/>
      <c r="E21" s="293"/>
      <c r="F21" s="620" t="s">
        <v>447</v>
      </c>
      <c r="G21" s="697"/>
      <c r="H21" s="697"/>
      <c r="I21" s="293"/>
    </row>
    <row r="22" spans="1:17" ht="8.1" customHeight="1">
      <c r="A22" s="293"/>
      <c r="B22" s="293"/>
      <c r="C22" s="342"/>
      <c r="D22" s="342"/>
      <c r="E22" s="293"/>
      <c r="F22" s="293"/>
      <c r="G22" s="293"/>
      <c r="H22" s="293"/>
      <c r="I22" s="293"/>
    </row>
    <row r="23" spans="1:17" ht="15.95" customHeight="1">
      <c r="A23" s="293"/>
      <c r="B23" s="293"/>
      <c r="C23" s="887" t="s">
        <v>734</v>
      </c>
      <c r="D23" s="887"/>
      <c r="E23" s="293"/>
      <c r="F23" s="944" t="s">
        <v>735</v>
      </c>
      <c r="G23" s="944"/>
      <c r="H23" s="944"/>
      <c r="I23" s="293"/>
    </row>
    <row r="24" spans="1:17" ht="15.95" customHeight="1">
      <c r="A24" s="293"/>
      <c r="B24" s="293"/>
      <c r="C24" s="945" t="s">
        <v>447</v>
      </c>
      <c r="D24" s="946"/>
      <c r="E24" s="293"/>
      <c r="F24" s="678" t="str">
        <f>計算用資料!E109</f>
        <v/>
      </c>
      <c r="G24" s="698"/>
      <c r="H24" s="698"/>
      <c r="I24" s="293"/>
    </row>
    <row r="25" spans="1:17" ht="15.95" customHeight="1">
      <c r="A25" s="293"/>
      <c r="B25" s="293"/>
      <c r="C25" s="293"/>
      <c r="D25" s="293"/>
      <c r="E25" s="293"/>
      <c r="F25" s="293"/>
      <c r="G25" s="293"/>
      <c r="H25" s="293"/>
      <c r="I25" s="293"/>
    </row>
    <row r="26" spans="1:17" s="75" customFormat="1" ht="16.5" customHeight="1">
      <c r="A26" s="305"/>
      <c r="B26" s="308" t="s">
        <v>307</v>
      </c>
      <c r="C26" s="885" t="s">
        <v>721</v>
      </c>
      <c r="D26" s="885"/>
      <c r="E26" s="305"/>
      <c r="F26" s="308" t="s">
        <v>303</v>
      </c>
      <c r="G26" s="885" t="s">
        <v>718</v>
      </c>
      <c r="H26" s="885"/>
      <c r="I26" s="885"/>
    </row>
    <row r="27" spans="1:17" s="75" customFormat="1" ht="16.5" customHeight="1">
      <c r="A27" s="305"/>
      <c r="B27" s="363" t="s">
        <v>307</v>
      </c>
      <c r="C27" s="885" t="s">
        <v>715</v>
      </c>
      <c r="D27" s="885"/>
      <c r="E27" s="305"/>
      <c r="F27" s="308" t="s">
        <v>297</v>
      </c>
      <c r="G27" s="885" t="s">
        <v>719</v>
      </c>
      <c r="H27" s="885"/>
      <c r="I27" s="885"/>
    </row>
    <row r="28" spans="1:17" s="75" customFormat="1" ht="16.5" customHeight="1">
      <c r="A28" s="305"/>
      <c r="B28" s="363" t="s">
        <v>307</v>
      </c>
      <c r="C28" s="885" t="s">
        <v>1218</v>
      </c>
      <c r="D28" s="885"/>
      <c r="E28" s="305"/>
      <c r="F28" s="308" t="s">
        <v>297</v>
      </c>
      <c r="G28" s="909" t="s">
        <v>309</v>
      </c>
      <c r="H28" s="909"/>
      <c r="I28" s="909"/>
    </row>
    <row r="29" spans="1:17" s="75" customFormat="1" ht="16.5" customHeight="1">
      <c r="A29" s="305"/>
      <c r="B29" s="308" t="s">
        <v>471</v>
      </c>
      <c r="C29" s="885" t="s">
        <v>716</v>
      </c>
      <c r="D29" s="885"/>
      <c r="E29" s="885"/>
      <c r="F29" s="305"/>
      <c r="G29" s="305"/>
      <c r="H29" s="305"/>
      <c r="I29" s="305"/>
    </row>
    <row r="30" spans="1:17" s="15" customFormat="1" ht="16.5" hidden="1" customHeight="1">
      <c r="A30" s="310"/>
      <c r="B30" s="311"/>
      <c r="C30" s="310"/>
      <c r="D30" s="310"/>
      <c r="E30" s="310"/>
      <c r="F30" s="310"/>
      <c r="G30" s="310"/>
      <c r="H30" s="310"/>
      <c r="I30" s="310"/>
    </row>
    <row r="31" spans="1:17" s="267" customFormat="1" ht="15.95" customHeight="1">
      <c r="A31" s="886" t="s">
        <v>952</v>
      </c>
      <c r="B31" s="886"/>
      <c r="C31" s="886"/>
      <c r="D31" s="886"/>
      <c r="E31" s="886"/>
      <c r="F31" s="886"/>
      <c r="G31" s="886"/>
      <c r="H31" s="886"/>
      <c r="I31" s="886"/>
      <c r="J31" s="266"/>
      <c r="K31" s="266"/>
      <c r="L31" s="266"/>
      <c r="M31" s="266"/>
      <c r="N31" s="266"/>
      <c r="O31" s="266"/>
      <c r="P31" s="266"/>
      <c r="Q31" s="266"/>
    </row>
    <row r="32" spans="1:17" ht="15.95" hidden="1" customHeight="1"/>
    <row r="33" ht="15.95" hidden="1" customHeight="1"/>
    <row r="34" ht="15.95" hidden="1" customHeight="1"/>
    <row r="35" ht="15.95" hidden="1" customHeight="1"/>
    <row r="36" ht="15.95" hidden="1" customHeight="1"/>
    <row r="37" ht="15.95" hidden="1" customHeight="1"/>
    <row r="38" ht="15.95" hidden="1" customHeight="1"/>
    <row r="39" ht="15.95" hidden="1" customHeight="1"/>
    <row r="40" ht="15.95" hidden="1" customHeight="1"/>
    <row r="41" ht="15.95" hidden="1" customHeight="1"/>
  </sheetData>
  <sheetProtection algorithmName="SHA-512" hashValue="JN8MiKHCGBwIdF4PDtJlsHSrcDNcj0XY7OdpGqhnum1FIWFdX4A3oIYDvzlBki/uOl6uVbVQbX57lqQIILF3ew==" saltValue="1qLRW1whRANojaEPor2bBg==" spinCount="100000" sheet="1" objects="1" scenarios="1"/>
  <mergeCells count="18">
    <mergeCell ref="A31:I31"/>
    <mergeCell ref="C29:E29"/>
    <mergeCell ref="G27:I27"/>
    <mergeCell ref="G28:I28"/>
    <mergeCell ref="G26:I26"/>
    <mergeCell ref="C28:D28"/>
    <mergeCell ref="C4:I5"/>
    <mergeCell ref="C8:I9"/>
    <mergeCell ref="C26:D26"/>
    <mergeCell ref="C27:D27"/>
    <mergeCell ref="F23:H23"/>
    <mergeCell ref="F16:H16"/>
    <mergeCell ref="C16:D16"/>
    <mergeCell ref="C17:D17"/>
    <mergeCell ref="C23:D23"/>
    <mergeCell ref="C24:D24"/>
    <mergeCell ref="F13:I13"/>
    <mergeCell ref="F20:I20"/>
  </mergeCells>
  <phoneticPr fontId="37"/>
  <dataValidations count="3">
    <dataValidation type="list" allowBlank="1" showInputMessage="1" showErrorMessage="1" sqref="F21 H30 F14">
      <formula1>"　,同居,別居"</formula1>
    </dataValidation>
    <dataValidation type="textLength" operator="equal" allowBlank="1" showInputMessage="1" showErrorMessage="1" errorTitle="番号を確認してください" error="個人番号は12桁です。" sqref="E30 E26:E28 G28">
      <formula1>12</formula1>
    </dataValidation>
    <dataValidation type="list" allowBlank="1" showInputMessage="1" showErrorMessage="1" sqref="C17 C24">
      <formula1>"　,身体障害者手帳1級,身体障害者手帳2級,身体障害者手帳3級,身体障害者手帳4級,身体障害者手帳5級,身体障害者手帳6級,精神障害者保健福祉手帳1級,精神障害者保健福祉手帳2級,精神障害者保健福祉手帳3級,療育手帳障害の程度A,療育手帳障害の程度A以外,要介護1,要介護2,要介護3,要介護4,要介護5,6カ月以上にわたって寝たきりで複雑な介護必要,常に精神上の障害により事理を弁識する能力を欠く,その他事由により障害者,その他事由により特別障害者"</formula1>
    </dataValidation>
  </dataValidations>
  <hyperlinks>
    <hyperlink ref="G26" location="寡婦・ひとり親・勤労学生!A1" display="寡婦・ひとり親・勤労学生控除を申告する方はこちら。"/>
    <hyperlink ref="G27" location="医療費・寄附金!A1" display="医療費控除・寄附金控除・雑損控除を申告する方はこちら。"/>
    <hyperlink ref="C26" location="社会保険料・生命保険料!A1" display="社会保険料・生命保険料・地震保険料控除を申告する方はこちら。"/>
    <hyperlink ref="C29" location="配偶者・扶養親族!A1" display="配偶者・扶養控除を申告する方はこちら。"/>
    <hyperlink ref="C28" location="はじめに!A1" display="個人情報の入力をする方はこちら"/>
    <hyperlink ref="C27" location="収入1!A1" display="給与収入・公的年金収入の入力をする方はこちら。"/>
    <hyperlink ref="G28:I28" location="'市民税・県民税申告書（印刷）'!A1" display="控除の入力が終了した方はこちら。申告書の印刷に進みます。"/>
    <hyperlink ref="C26:D26" location="社会保険・生命・地震保険!A1" display="社会保険料・生命保険料・地震保険料控除を申告する方"/>
    <hyperlink ref="C27:D27" location="給与・年金!A1" display="収入金額を修正する方はこちら"/>
    <hyperlink ref="C29:E29" location="配偶者・扶養!A1" display="配偶者・扶養控除を申告する方はこちら"/>
  </hyperlinks>
  <pageMargins left="0.70866141732283472" right="0.70866141732283472" top="0.74803149606299213" bottom="0.74803149606299213" header="0.31496062992125984" footer="0.31496062992125984"/>
  <pageSetup paperSize="9"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showGridLines="0" showRowColHeaders="0" zoomScale="90" zoomScaleNormal="90" workbookViewId="0">
      <selection activeCell="D6" sqref="D6:Q6"/>
    </sheetView>
  </sheetViews>
  <sheetFormatPr defaultColWidth="0" defaultRowHeight="0" customHeight="1" zeroHeight="1"/>
  <cols>
    <col min="1" max="1" width="4.625" style="163" customWidth="1"/>
    <col min="2" max="2" width="5.125" style="163" customWidth="1"/>
    <col min="3" max="3" width="6.5" style="163" customWidth="1"/>
    <col min="4" max="4" width="28.75" style="163" customWidth="1"/>
    <col min="5" max="16" width="9" style="163" customWidth="1"/>
    <col min="17" max="17" width="13.375" style="163" customWidth="1"/>
    <col min="18" max="18" width="9" style="163" customWidth="1"/>
    <col min="19" max="16384" width="9" style="163" hidden="1"/>
  </cols>
  <sheetData>
    <row r="1" spans="1:18" s="395" customFormat="1" ht="15.95" customHeight="1">
      <c r="A1" s="392"/>
      <c r="B1" s="393" t="s">
        <v>241</v>
      </c>
      <c r="C1" s="394" t="s">
        <v>232</v>
      </c>
      <c r="D1" s="291"/>
      <c r="E1" s="291"/>
      <c r="F1" s="392"/>
      <c r="G1" s="392"/>
      <c r="H1" s="392"/>
      <c r="I1" s="392"/>
      <c r="J1" s="392"/>
      <c r="K1" s="392"/>
      <c r="L1" s="392"/>
      <c r="M1" s="392"/>
      <c r="N1" s="392"/>
      <c r="O1" s="392"/>
      <c r="P1" s="392"/>
      <c r="Q1" s="392"/>
      <c r="R1" s="392"/>
    </row>
    <row r="2" spans="1:18" s="396" customFormat="1" ht="15.95" customHeight="1">
      <c r="C2" s="694" t="s">
        <v>18</v>
      </c>
      <c r="D2" s="397" t="s">
        <v>1247</v>
      </c>
    </row>
    <row r="3" spans="1:18" s="396" customFormat="1" ht="15.95" customHeight="1">
      <c r="D3" s="398" t="str">
        <f>計算用資料!F115</f>
        <v/>
      </c>
    </row>
    <row r="4" spans="1:18" s="396" customFormat="1" ht="15.95" customHeight="1">
      <c r="D4" s="399" t="s">
        <v>1221</v>
      </c>
      <c r="E4" s="400"/>
      <c r="F4" s="400"/>
      <c r="G4" s="400"/>
      <c r="H4" s="400"/>
      <c r="I4" s="400"/>
      <c r="J4" s="400"/>
      <c r="K4" s="400"/>
      <c r="L4" s="400"/>
      <c r="M4" s="400"/>
      <c r="N4" s="400"/>
      <c r="O4" s="400"/>
      <c r="P4" s="400"/>
      <c r="Q4" s="400"/>
    </row>
    <row r="5" spans="1:18" s="396" customFormat="1" ht="15.95" customHeight="1">
      <c r="D5" s="953" t="s">
        <v>233</v>
      </c>
      <c r="E5" s="953"/>
      <c r="F5" s="953"/>
      <c r="G5" s="953"/>
      <c r="H5" s="953"/>
      <c r="I5" s="953"/>
      <c r="J5" s="953"/>
      <c r="K5" s="953"/>
      <c r="L5" s="953"/>
      <c r="M5" s="953"/>
      <c r="N5" s="953"/>
      <c r="O5" s="953"/>
      <c r="P5" s="953"/>
      <c r="Q5" s="953"/>
    </row>
    <row r="6" spans="1:18" s="396" customFormat="1" ht="15.95" customHeight="1">
      <c r="D6" s="953" t="s">
        <v>1489</v>
      </c>
      <c r="E6" s="953"/>
      <c r="F6" s="953"/>
      <c r="G6" s="953"/>
      <c r="H6" s="953"/>
      <c r="I6" s="953"/>
      <c r="J6" s="953"/>
      <c r="K6" s="953"/>
      <c r="L6" s="953"/>
      <c r="M6" s="953"/>
      <c r="N6" s="953"/>
      <c r="O6" s="953"/>
      <c r="P6" s="953"/>
      <c r="Q6" s="953"/>
    </row>
    <row r="7" spans="1:18" s="396" customFormat="1" ht="15.95" customHeight="1">
      <c r="D7" s="953" t="s">
        <v>238</v>
      </c>
      <c r="E7" s="953"/>
      <c r="F7" s="953"/>
      <c r="G7" s="953"/>
      <c r="H7" s="953"/>
      <c r="I7" s="953"/>
      <c r="J7" s="953"/>
      <c r="K7" s="953"/>
      <c r="L7" s="953"/>
      <c r="M7" s="953"/>
      <c r="N7" s="953"/>
      <c r="O7" s="953"/>
      <c r="P7" s="953"/>
      <c r="Q7" s="953"/>
    </row>
    <row r="8" spans="1:18" s="396" customFormat="1" ht="15.95" customHeight="1">
      <c r="D8" s="953" t="s">
        <v>239</v>
      </c>
      <c r="E8" s="953"/>
      <c r="F8" s="953"/>
      <c r="G8" s="953"/>
      <c r="H8" s="953"/>
      <c r="I8" s="953"/>
      <c r="J8" s="953"/>
      <c r="K8" s="953"/>
      <c r="L8" s="953"/>
      <c r="M8" s="953"/>
      <c r="N8" s="953"/>
      <c r="O8" s="953"/>
      <c r="P8" s="953"/>
      <c r="Q8" s="953"/>
    </row>
    <row r="9" spans="1:18" s="396" customFormat="1" ht="33.75" customHeight="1">
      <c r="D9" s="952" t="s">
        <v>995</v>
      </c>
      <c r="E9" s="952"/>
      <c r="F9" s="952"/>
      <c r="G9" s="952"/>
      <c r="H9" s="952"/>
      <c r="I9" s="952"/>
      <c r="J9" s="952"/>
      <c r="K9" s="952"/>
      <c r="L9" s="952"/>
      <c r="M9" s="952"/>
      <c r="N9" s="952"/>
      <c r="O9" s="952"/>
      <c r="P9" s="952"/>
      <c r="Q9" s="952"/>
    </row>
    <row r="10" spans="1:18" s="396" customFormat="1" ht="33.75" customHeight="1">
      <c r="D10" s="952" t="s">
        <v>994</v>
      </c>
      <c r="E10" s="952"/>
      <c r="F10" s="952"/>
      <c r="G10" s="952"/>
      <c r="H10" s="952"/>
      <c r="I10" s="952"/>
      <c r="J10" s="952"/>
      <c r="K10" s="952"/>
      <c r="L10" s="952"/>
      <c r="M10" s="952"/>
      <c r="N10" s="952"/>
      <c r="O10" s="952"/>
      <c r="P10" s="952"/>
      <c r="Q10" s="952"/>
    </row>
    <row r="11" spans="1:18" s="396" customFormat="1" ht="15.95" customHeight="1"/>
    <row r="12" spans="1:18" s="396" customFormat="1" ht="15.95" customHeight="1">
      <c r="C12" s="694" t="s">
        <v>18</v>
      </c>
      <c r="D12" s="397" t="s">
        <v>1246</v>
      </c>
    </row>
    <row r="13" spans="1:18" s="396" customFormat="1" ht="15.95" customHeight="1">
      <c r="D13" s="398" t="str">
        <f>計算用資料!F115</f>
        <v/>
      </c>
    </row>
    <row r="14" spans="1:18" s="396" customFormat="1" ht="15.95" customHeight="1">
      <c r="C14" s="401"/>
      <c r="D14" s="400" t="s">
        <v>1222</v>
      </c>
      <c r="E14" s="402"/>
      <c r="F14" s="402"/>
      <c r="G14" s="402"/>
      <c r="H14" s="402"/>
      <c r="I14" s="402"/>
      <c r="J14" s="402"/>
      <c r="K14" s="402"/>
      <c r="L14" s="402"/>
      <c r="M14" s="402"/>
      <c r="N14" s="402"/>
      <c r="O14" s="402"/>
      <c r="P14" s="402"/>
      <c r="Q14" s="402"/>
    </row>
    <row r="15" spans="1:18" s="396" customFormat="1" ht="33.75" customHeight="1">
      <c r="D15" s="952" t="s">
        <v>957</v>
      </c>
      <c r="E15" s="952"/>
      <c r="F15" s="952"/>
      <c r="G15" s="952"/>
      <c r="H15" s="952"/>
      <c r="I15" s="952"/>
      <c r="J15" s="952"/>
      <c r="K15" s="952"/>
      <c r="L15" s="952"/>
      <c r="M15" s="952"/>
      <c r="N15" s="952"/>
      <c r="O15" s="952"/>
      <c r="P15" s="952"/>
      <c r="Q15" s="952"/>
    </row>
    <row r="16" spans="1:18" s="396" customFormat="1" ht="34.5" customHeight="1">
      <c r="D16" s="952" t="s">
        <v>235</v>
      </c>
      <c r="E16" s="952"/>
      <c r="F16" s="952"/>
      <c r="G16" s="952"/>
      <c r="H16" s="952"/>
      <c r="I16" s="952"/>
      <c r="J16" s="952"/>
      <c r="K16" s="952"/>
      <c r="L16" s="952"/>
      <c r="M16" s="952"/>
      <c r="N16" s="952"/>
      <c r="O16" s="952"/>
      <c r="P16" s="952"/>
      <c r="Q16" s="952"/>
    </row>
    <row r="17" spans="1:18" s="396" customFormat="1" ht="33.75" customHeight="1">
      <c r="D17" s="952" t="s">
        <v>234</v>
      </c>
      <c r="E17" s="952"/>
      <c r="F17" s="952"/>
      <c r="G17" s="952"/>
      <c r="H17" s="952"/>
      <c r="I17" s="952"/>
      <c r="J17" s="952"/>
      <c r="K17" s="952"/>
      <c r="L17" s="952"/>
      <c r="M17" s="952"/>
      <c r="N17" s="952"/>
      <c r="O17" s="952"/>
      <c r="P17" s="952"/>
      <c r="Q17" s="952"/>
    </row>
    <row r="18" spans="1:18" s="396" customFormat="1" ht="15.95" customHeight="1">
      <c r="D18" s="953" t="s">
        <v>244</v>
      </c>
      <c r="E18" s="953"/>
      <c r="F18" s="953"/>
      <c r="G18" s="953"/>
      <c r="H18" s="953"/>
      <c r="I18" s="953"/>
      <c r="J18" s="953"/>
      <c r="K18" s="953"/>
      <c r="L18" s="953"/>
      <c r="M18" s="953"/>
      <c r="N18" s="953"/>
      <c r="O18" s="953"/>
      <c r="P18" s="953"/>
      <c r="Q18" s="953"/>
    </row>
    <row r="19" spans="1:18" s="396" customFormat="1" ht="15.95" customHeight="1">
      <c r="D19" s="953" t="s">
        <v>236</v>
      </c>
      <c r="E19" s="953"/>
      <c r="F19" s="953"/>
      <c r="G19" s="953"/>
      <c r="H19" s="953"/>
      <c r="I19" s="953"/>
      <c r="J19" s="953"/>
      <c r="K19" s="953"/>
      <c r="L19" s="953"/>
      <c r="M19" s="953"/>
      <c r="N19" s="953"/>
      <c r="O19" s="953"/>
      <c r="P19" s="953"/>
      <c r="Q19" s="953"/>
    </row>
    <row r="20" spans="1:18" s="396" customFormat="1" ht="15.95" customHeight="1">
      <c r="D20" s="953" t="s">
        <v>237</v>
      </c>
      <c r="E20" s="953"/>
      <c r="F20" s="953"/>
      <c r="G20" s="953"/>
      <c r="H20" s="953"/>
      <c r="I20" s="953"/>
      <c r="J20" s="953"/>
      <c r="K20" s="953"/>
      <c r="L20" s="953"/>
      <c r="M20" s="953"/>
      <c r="N20" s="953"/>
      <c r="O20" s="953"/>
      <c r="P20" s="953"/>
      <c r="Q20" s="953"/>
    </row>
    <row r="21" spans="1:18" s="396" customFormat="1" ht="15.95" customHeight="1"/>
    <row r="22" spans="1:18" s="396" customFormat="1" ht="15.95" customHeight="1">
      <c r="D22" s="403" t="s">
        <v>243</v>
      </c>
      <c r="E22" s="633"/>
    </row>
    <row r="23" spans="1:18" s="396" customFormat="1" ht="15.95" customHeight="1">
      <c r="E23" s="404"/>
    </row>
    <row r="24" spans="1:18" s="395" customFormat="1" ht="15.95" customHeight="1">
      <c r="A24" s="392"/>
      <c r="B24" s="405" t="s">
        <v>240</v>
      </c>
      <c r="C24" s="394" t="s">
        <v>242</v>
      </c>
      <c r="D24" s="291"/>
      <c r="E24" s="392"/>
      <c r="F24" s="392"/>
      <c r="G24" s="392"/>
      <c r="H24" s="392"/>
      <c r="I24" s="392"/>
      <c r="J24" s="392"/>
      <c r="K24" s="392"/>
      <c r="L24" s="392"/>
      <c r="M24" s="392"/>
      <c r="N24" s="392"/>
      <c r="O24" s="392"/>
      <c r="P24" s="392"/>
      <c r="Q24" s="392"/>
      <c r="R24" s="392"/>
    </row>
    <row r="25" spans="1:18" s="396" customFormat="1" ht="15.95" customHeight="1">
      <c r="C25" s="694" t="s">
        <v>18</v>
      </c>
      <c r="D25" s="396" t="s">
        <v>1090</v>
      </c>
    </row>
    <row r="26" spans="1:18" s="396" customFormat="1" ht="15.95" customHeight="1"/>
    <row r="27" spans="1:18" s="396" customFormat="1" ht="15.95" customHeight="1">
      <c r="C27" s="401"/>
      <c r="D27" s="406" t="s">
        <v>958</v>
      </c>
      <c r="E27" s="402"/>
      <c r="F27" s="402"/>
      <c r="G27" s="402"/>
      <c r="H27" s="402"/>
      <c r="I27" s="402"/>
      <c r="J27" s="402"/>
      <c r="K27" s="402"/>
      <c r="L27" s="402"/>
      <c r="M27" s="402"/>
      <c r="N27" s="402"/>
      <c r="O27" s="402"/>
      <c r="P27" s="402"/>
      <c r="Q27" s="402"/>
    </row>
    <row r="28" spans="1:18" s="396" customFormat="1" ht="16.5">
      <c r="D28" s="952" t="s">
        <v>959</v>
      </c>
      <c r="E28" s="953"/>
      <c r="F28" s="953"/>
      <c r="G28" s="953"/>
      <c r="H28" s="953"/>
      <c r="I28" s="953"/>
      <c r="J28" s="953"/>
      <c r="K28" s="953"/>
      <c r="L28" s="953"/>
      <c r="M28" s="953"/>
      <c r="N28" s="953"/>
      <c r="O28" s="953"/>
      <c r="P28" s="953"/>
      <c r="Q28" s="953"/>
    </row>
    <row r="29" spans="1:18" s="396" customFormat="1" ht="15.95" customHeight="1"/>
    <row r="30" spans="1:18" s="396" customFormat="1" ht="15.95" customHeight="1">
      <c r="D30" s="403" t="s">
        <v>245</v>
      </c>
      <c r="E30" s="949"/>
      <c r="F30" s="950"/>
      <c r="G30" s="950"/>
      <c r="H30" s="951"/>
    </row>
    <row r="31" spans="1:18" s="396" customFormat="1" ht="15.95" customHeight="1"/>
    <row r="32" spans="1:18" s="408" customFormat="1" ht="16.5" customHeight="1">
      <c r="A32" s="323"/>
      <c r="B32" s="407"/>
      <c r="C32" s="325" t="s">
        <v>307</v>
      </c>
      <c r="D32" s="885" t="s">
        <v>720</v>
      </c>
      <c r="E32" s="885"/>
      <c r="F32" s="885"/>
      <c r="G32" s="885"/>
      <c r="H32" s="323"/>
      <c r="I32" s="325" t="s">
        <v>307</v>
      </c>
      <c r="J32" s="885" t="s">
        <v>716</v>
      </c>
      <c r="K32" s="885"/>
      <c r="L32" s="885"/>
      <c r="M32" s="885"/>
      <c r="N32" s="885"/>
      <c r="O32" s="885"/>
      <c r="P32" s="323"/>
      <c r="Q32" s="323"/>
      <c r="R32" s="323"/>
    </row>
    <row r="33" spans="1:18" s="408" customFormat="1" ht="16.5" customHeight="1">
      <c r="A33" s="323"/>
      <c r="B33" s="407"/>
      <c r="C33" s="325" t="s">
        <v>307</v>
      </c>
      <c r="D33" s="885" t="s">
        <v>717</v>
      </c>
      <c r="E33" s="885"/>
      <c r="F33" s="885"/>
      <c r="G33" s="885"/>
      <c r="H33" s="323"/>
      <c r="I33" s="325" t="s">
        <v>297</v>
      </c>
      <c r="J33" s="885" t="s">
        <v>719</v>
      </c>
      <c r="K33" s="885"/>
      <c r="L33" s="885"/>
      <c r="M33" s="885"/>
      <c r="N33" s="885"/>
      <c r="O33" s="885"/>
      <c r="P33" s="323"/>
      <c r="Q33" s="323"/>
      <c r="R33" s="323"/>
    </row>
    <row r="34" spans="1:18" s="408" customFormat="1" ht="16.5" customHeight="1">
      <c r="A34" s="323"/>
      <c r="B34" s="407"/>
      <c r="C34" s="409" t="s">
        <v>307</v>
      </c>
      <c r="D34" s="885" t="s">
        <v>715</v>
      </c>
      <c r="E34" s="885"/>
      <c r="F34" s="885"/>
      <c r="G34" s="885"/>
      <c r="H34" s="323"/>
      <c r="I34" s="325" t="s">
        <v>297</v>
      </c>
      <c r="J34" s="909" t="s">
        <v>309</v>
      </c>
      <c r="K34" s="909"/>
      <c r="L34" s="909"/>
      <c r="M34" s="909"/>
      <c r="N34" s="909"/>
      <c r="O34" s="909"/>
      <c r="P34" s="323"/>
      <c r="Q34" s="323"/>
      <c r="R34" s="323"/>
    </row>
    <row r="35" spans="1:18" s="408" customFormat="1" ht="16.5" customHeight="1">
      <c r="A35" s="323"/>
      <c r="B35" s="407"/>
      <c r="C35" s="409" t="s">
        <v>307</v>
      </c>
      <c r="D35" s="885" t="s">
        <v>1218</v>
      </c>
      <c r="E35" s="885"/>
      <c r="F35" s="885"/>
      <c r="G35" s="885"/>
      <c r="H35" s="323"/>
      <c r="I35" s="323"/>
      <c r="J35" s="323"/>
      <c r="K35" s="323"/>
      <c r="L35" s="323"/>
      <c r="M35" s="323"/>
      <c r="N35" s="323"/>
      <c r="O35" s="323"/>
      <c r="P35" s="323"/>
      <c r="Q35" s="323"/>
      <c r="R35" s="323"/>
    </row>
    <row r="36" spans="1:18" s="396" customFormat="1" ht="15.75" hidden="1" customHeight="1"/>
    <row r="37" spans="1:18" s="886" customFormat="1" ht="15.95" customHeight="1">
      <c r="A37" s="886" t="s">
        <v>952</v>
      </c>
    </row>
    <row r="38" spans="1:18" ht="15.95" hidden="1" customHeight="1"/>
  </sheetData>
  <sheetProtection algorithmName="SHA-512" hashValue="re3uO+zucsRBKRXtArTBwHaQRDpydzhWH34TJzbyA8yCS0YAKTdrH6N1p3uJviiDtzkoJZCQKbFWQlkEDX2wjA==" saltValue="T84BApQZtpWsdVQMXCddhQ==" spinCount="100000" sheet="1" objects="1" scenarios="1"/>
  <mergeCells count="22">
    <mergeCell ref="A37:XFD37"/>
    <mergeCell ref="E30:H30"/>
    <mergeCell ref="D10:Q10"/>
    <mergeCell ref="D5:Q5"/>
    <mergeCell ref="D6:Q6"/>
    <mergeCell ref="D7:Q7"/>
    <mergeCell ref="D8:Q8"/>
    <mergeCell ref="D9:Q9"/>
    <mergeCell ref="D28:Q28"/>
    <mergeCell ref="D15:Q15"/>
    <mergeCell ref="D16:Q16"/>
    <mergeCell ref="D17:Q17"/>
    <mergeCell ref="D18:Q18"/>
    <mergeCell ref="D19:Q19"/>
    <mergeCell ref="D20:Q20"/>
    <mergeCell ref="D32:G32"/>
    <mergeCell ref="D33:G33"/>
    <mergeCell ref="D34:G34"/>
    <mergeCell ref="D35:G35"/>
    <mergeCell ref="J32:O32"/>
    <mergeCell ref="J33:O33"/>
    <mergeCell ref="J34:O34"/>
  </mergeCells>
  <phoneticPr fontId="37"/>
  <dataValidations count="3">
    <dataValidation type="list" allowBlank="1" showInputMessage="1" showErrorMessage="1" sqref="C2 C12 C25">
      <formula1>"□,■"</formula1>
    </dataValidation>
    <dataValidation type="list" allowBlank="1" showInputMessage="1" showErrorMessage="1" sqref="D23">
      <formula1>"寡婦理由を選択してください,死別,離婚,生死不明,未帰還"</formula1>
    </dataValidation>
    <dataValidation type="list" allowBlank="1" showInputMessage="1" showErrorMessage="1" sqref="E22">
      <formula1>"　,死別,離婚,生死不明,未帰還"</formula1>
    </dataValidation>
  </dataValidations>
  <hyperlinks>
    <hyperlink ref="D33" location="障害者控除!A1" display="障害者控除を申告する方はこちら。"/>
    <hyperlink ref="J33" location="医療費・寄附金!A1" display="医療費控除・寄附金控除・雑損控除を申告する方はこちら。"/>
    <hyperlink ref="D32" location="社会保険料・生命保険料!A1" display="社会保険料・生命保険料・地震保険料控除を申告する方はこちら。"/>
    <hyperlink ref="J32" location="配偶者・扶養親族!A1" display="配偶者・扶養控除を申告する方はこちら。"/>
    <hyperlink ref="D35" location="はじめに!A1" display="個人情報の入力をする方はこちら"/>
    <hyperlink ref="D34" location="収入1!A1" display="給与収入・公的年金収入の入力をする方はこちら。"/>
    <hyperlink ref="D32:G32" location="社会保険・生命・地震保険!A1" display="社会保険料・生命保険料・地震保険料控除を申告する方はこちら。"/>
    <hyperlink ref="D33:G33" location="障害者控除!A1" display="障害者控除を申告する方はこちら。"/>
    <hyperlink ref="D34:G34" location="給与・年金!A1" display="収入金額を修正する方はこちら。"/>
    <hyperlink ref="D35:G35" location="はじめに!A1" display="個人情報の入力をする方はこちら"/>
    <hyperlink ref="J32:O32" location="配偶者・扶養!A1" display="配偶者・扶養控除を申告する方はこちら。"/>
    <hyperlink ref="J33:O33" location="医療費・寄附金!A1" display="医療費控除・寄附金控除を申告する方はこちら。"/>
    <hyperlink ref="J34:O34" location="'市民税・県民税申告書（印刷）'!A1" display="控除の入力が終了した方はこちら。申告書の印刷に進みます。"/>
  </hyperlink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はじめに</vt:lpstr>
      <vt:lpstr>収入がない方</vt:lpstr>
      <vt:lpstr>給与・年金</vt:lpstr>
      <vt:lpstr>営業等</vt:lpstr>
      <vt:lpstr>一時所得等</vt:lpstr>
      <vt:lpstr>社会保険・生命・地震保険</vt:lpstr>
      <vt:lpstr>配偶者・扶養</vt:lpstr>
      <vt:lpstr>障害者控除</vt:lpstr>
      <vt:lpstr>寡婦・ひとり親・勤労学生</vt:lpstr>
      <vt:lpstr>医療費・寄附金</vt:lpstr>
      <vt:lpstr>市民税・県民税申告書（印刷）</vt:lpstr>
      <vt:lpstr>ふるさと納税・税額試算</vt:lpstr>
      <vt:lpstr>計算用資料</vt:lpstr>
      <vt:lpstr>シート解説</vt:lpstr>
      <vt:lpstr>改訂履歴</vt:lpstr>
      <vt:lpstr>'市民税・県民税申告書（印刷）'!Print_Area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2020-12-17T04:50:30Z</dcterms:created>
  <dcterms:modified xsi:type="dcterms:W3CDTF">2023-12-22T05:56:44Z</dcterms:modified>
</cp:coreProperties>
</file>